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OCUMENTOS COMPARTILHADOS\Dicom 2022\PREGÃO ELETRÔNICO\Pregão 05-2022- Central de Serviços de TIC REPUBLICAÇÃO\Edital e Anexos\ETP e Anexos do ETP\"/>
    </mc:Choice>
  </mc:AlternateContent>
  <xr:revisionPtr revIDLastSave="0" documentId="8_{CF20731E-52A2-4FDF-A5F0-6AC1242C48B3}" xr6:coauthVersionLast="47" xr6:coauthVersionMax="47" xr10:uidLastSave="{00000000-0000-0000-0000-000000000000}"/>
  <bookViews>
    <workbookView xWindow="-110" yWindow="-110" windowWidth="19420" windowHeight="10420" tabRatio="639" xr2:uid="{7C990CA7-8A37-474A-AC96-98AB0CD2DD25}"/>
  </bookViews>
  <sheets>
    <sheet name="Resumo" sheetId="12" r:id="rId1"/>
    <sheet name="Estimativa Demanda" sheetId="3" r:id="rId2"/>
    <sheet name="Custos Fator K" sheetId="16" r:id="rId3"/>
    <sheet name="Base Salarial Portaria" sheetId="17" r:id="rId4"/>
    <sheet name="OBJETO" sheetId="20" r:id="rId5"/>
    <sheet name="MAPA TCO" sheetId="1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9" i="16" l="1"/>
  <c r="G29" i="16"/>
  <c r="J29" i="16"/>
  <c r="J28" i="16"/>
  <c r="J21" i="16"/>
  <c r="I26" i="16"/>
  <c r="I24" i="16"/>
  <c r="I23" i="16"/>
  <c r="I21" i="16"/>
  <c r="I19" i="16"/>
  <c r="I17" i="16"/>
  <c r="I15" i="16"/>
  <c r="I13" i="16"/>
  <c r="I11" i="16"/>
  <c r="I9" i="16"/>
  <c r="I8" i="16"/>
  <c r="I7" i="16"/>
  <c r="I6" i="16"/>
  <c r="I5" i="16"/>
  <c r="K17" i="3" l="1"/>
  <c r="I28" i="17" l="1"/>
  <c r="I27" i="17"/>
  <c r="I26" i="17"/>
  <c r="H26" i="17"/>
  <c r="H23" i="17"/>
  <c r="I22" i="17"/>
  <c r="I21" i="17"/>
  <c r="I20" i="17"/>
  <c r="H20" i="17"/>
  <c r="H13" i="17"/>
  <c r="I5" i="17"/>
  <c r="I4" i="17"/>
  <c r="I3" i="17"/>
  <c r="J5" i="16" l="1"/>
  <c r="H15" i="3"/>
  <c r="C5" i="18"/>
  <c r="H7" i="3"/>
  <c r="H6" i="3"/>
  <c r="H5" i="3"/>
  <c r="H16" i="3"/>
  <c r="C6" i="18" l="1"/>
  <c r="C7" i="18" s="1"/>
  <c r="C8" i="18" s="1"/>
  <c r="J15" i="16"/>
  <c r="C9" i="18" l="1"/>
  <c r="J24" i="16"/>
  <c r="J23" i="16"/>
  <c r="J19" i="16"/>
  <c r="J17" i="16"/>
  <c r="J13" i="16"/>
  <c r="J11" i="16"/>
  <c r="J9" i="16"/>
  <c r="J8" i="16"/>
  <c r="J7" i="16"/>
  <c r="J6" i="16"/>
  <c r="J10" i="16" l="1"/>
  <c r="E4" i="12" s="1"/>
  <c r="G5" i="20" s="1"/>
  <c r="J16" i="16"/>
  <c r="E7" i="12" s="1"/>
  <c r="G8" i="20" s="1"/>
  <c r="H8" i="20" s="1"/>
  <c r="J12" i="16"/>
  <c r="E5" i="12" s="1"/>
  <c r="G6" i="20" s="1"/>
  <c r="H6" i="20" s="1"/>
  <c r="J14" i="16"/>
  <c r="E6" i="12" s="1"/>
  <c r="G7" i="20" s="1"/>
  <c r="H7" i="20" s="1"/>
  <c r="J18" i="16"/>
  <c r="E8" i="12" s="1"/>
  <c r="G9" i="20" s="1"/>
  <c r="H9" i="20" s="1"/>
  <c r="J20" i="16"/>
  <c r="E9" i="12" s="1"/>
  <c r="G10" i="20" s="1"/>
  <c r="H10" i="20" s="1"/>
  <c r="J22" i="16"/>
  <c r="E10" i="12" s="1"/>
  <c r="G11" i="20" s="1"/>
  <c r="H11" i="20" s="1"/>
  <c r="J25" i="16"/>
  <c r="E11" i="12" s="1"/>
  <c r="G12" i="20" s="1"/>
  <c r="H12" i="20" s="1"/>
  <c r="E3" i="3"/>
  <c r="G3" i="3"/>
  <c r="H5" i="20" l="1"/>
  <c r="I16" i="3"/>
  <c r="I3" i="3" l="1"/>
  <c r="G4" i="3" l="1"/>
  <c r="I4" i="3" s="1"/>
  <c r="G5" i="3"/>
  <c r="G6" i="3"/>
  <c r="G7" i="3"/>
  <c r="G8" i="3"/>
  <c r="G9" i="3"/>
  <c r="G10" i="3"/>
  <c r="G11" i="3"/>
  <c r="H3" i="3"/>
  <c r="H4" i="3"/>
  <c r="K16" i="3"/>
  <c r="H8" i="3" l="1"/>
  <c r="H9" i="3"/>
  <c r="H10" i="3"/>
  <c r="H11" i="3"/>
  <c r="E5" i="3"/>
  <c r="I5" i="3" s="1"/>
  <c r="E6" i="3"/>
  <c r="I6" i="3" s="1"/>
  <c r="E7" i="3"/>
  <c r="I7" i="3" s="1"/>
  <c r="E8" i="3"/>
  <c r="E9" i="3"/>
  <c r="I9" i="3" s="1"/>
  <c r="E10" i="3"/>
  <c r="E11" i="3"/>
  <c r="H12" i="3" l="1"/>
  <c r="J3" i="3" s="1"/>
  <c r="I8" i="3"/>
  <c r="I11" i="3"/>
  <c r="I10" i="3"/>
  <c r="J5" i="3" l="1"/>
  <c r="J4" i="3"/>
  <c r="J8" i="3"/>
  <c r="J9" i="3"/>
  <c r="J10" i="3"/>
  <c r="J6" i="3"/>
  <c r="J11" i="3"/>
  <c r="J7" i="3"/>
  <c r="I15" i="3"/>
  <c r="K15" i="3"/>
  <c r="K5" i="3" s="1"/>
  <c r="K7" i="3" l="1"/>
  <c r="L7" i="3" s="1"/>
  <c r="M7" i="3" s="1"/>
  <c r="N7" i="3" s="1"/>
  <c r="K6" i="3"/>
  <c r="L6" i="3" s="1"/>
  <c r="M6" i="3" s="1"/>
  <c r="N6" i="3" s="1"/>
  <c r="K8" i="3"/>
  <c r="L8" i="3" s="1"/>
  <c r="M8" i="3" s="1"/>
  <c r="N8" i="3" s="1"/>
  <c r="K3" i="3"/>
  <c r="L3" i="3" s="1"/>
  <c r="M3" i="3" s="1"/>
  <c r="N3" i="3" s="1"/>
  <c r="D4" i="12" s="1"/>
  <c r="L5" i="3"/>
  <c r="M5" i="3" s="1"/>
  <c r="N5" i="3" s="1"/>
  <c r="K9" i="3"/>
  <c r="L9" i="3" s="1"/>
  <c r="M9" i="3" s="1"/>
  <c r="N9" i="3" s="1"/>
  <c r="K10" i="3"/>
  <c r="L10" i="3" s="1"/>
  <c r="M10" i="3" s="1"/>
  <c r="N10" i="3" s="1"/>
  <c r="K11" i="3"/>
  <c r="L11" i="3" s="1"/>
  <c r="M11" i="3" s="1"/>
  <c r="N11" i="3" s="1"/>
  <c r="K4" i="3"/>
  <c r="L4" i="3" l="1"/>
  <c r="M4" i="3" s="1"/>
  <c r="N4" i="3" s="1"/>
  <c r="D8" i="12"/>
  <c r="D17" i="16"/>
  <c r="D5" i="16"/>
  <c r="D9" i="12"/>
  <c r="D19" i="16"/>
  <c r="D12" i="12"/>
  <c r="D26" i="16"/>
  <c r="G26" i="16" s="1"/>
  <c r="D7" i="12"/>
  <c r="D11" i="12"/>
  <c r="D23" i="16"/>
  <c r="D10" i="12"/>
  <c r="D21" i="16"/>
  <c r="D13" i="16"/>
  <c r="D6" i="12"/>
  <c r="D5" i="12" l="1"/>
  <c r="D13" i="12" s="1"/>
  <c r="D11" i="16"/>
  <c r="N12" i="3"/>
  <c r="J26" i="16"/>
  <c r="J27" i="16" s="1"/>
  <c r="E12" i="12" l="1"/>
  <c r="E14" i="12" l="1"/>
  <c r="E15" i="12" s="1"/>
  <c r="D4" i="18" s="1"/>
  <c r="G13" i="20"/>
  <c r="H14" i="20" l="1"/>
  <c r="H13" i="20"/>
  <c r="E4" i="18"/>
  <c r="D5" i="18"/>
  <c r="H15" i="20"/>
  <c r="D6" i="18" l="1"/>
  <c r="E5" i="18"/>
  <c r="E6" i="18" l="1"/>
  <c r="D7" i="18"/>
  <c r="D8" i="18" l="1"/>
  <c r="E8" i="18" s="1"/>
  <c r="E7" i="18"/>
  <c r="E9" i="18" l="1"/>
  <c r="D9" i="18"/>
</calcChain>
</file>

<file path=xl/sharedStrings.xml><?xml version="1.0" encoding="utf-8"?>
<sst xmlns="http://schemas.openxmlformats.org/spreadsheetml/2006/main" count="271" uniqueCount="185">
  <si>
    <t>Nº Item</t>
  </si>
  <si>
    <t>Banco de Dados</t>
  </si>
  <si>
    <t>Serviços Corporativos</t>
  </si>
  <si>
    <t>Armazenamento e Backup</t>
  </si>
  <si>
    <t>Redes</t>
  </si>
  <si>
    <t>DevOps</t>
  </si>
  <si>
    <t>Quantidade total de profissionais (atualmente)</t>
  </si>
  <si>
    <t>Quantitativo anual médio</t>
  </si>
  <si>
    <t>Quantitativo mensal médio (v1)</t>
  </si>
  <si>
    <t>Tempo esperado para atendimento (v2)</t>
  </si>
  <si>
    <t>Tempo total mensal = v1 x v2</t>
  </si>
  <si>
    <t>Requisições</t>
  </si>
  <si>
    <t>Incidentes</t>
  </si>
  <si>
    <t>Gerenciamento Técnico dos Projetos e Operações</t>
  </si>
  <si>
    <t>Central de Serviços e Monitoramento</t>
  </si>
  <si>
    <t>Aplicações, virtualização e nuvem</t>
  </si>
  <si>
    <t>Categoria</t>
  </si>
  <si>
    <t>Quantidade</t>
  </si>
  <si>
    <t>Quantidade total de profissionais</t>
  </si>
  <si>
    <t>Fator K</t>
  </si>
  <si>
    <t>Total mensal (apenas salário bruto)</t>
  </si>
  <si>
    <t>Segurança da Informação</t>
  </si>
  <si>
    <t>Gerente de Segurança da Informação</t>
  </si>
  <si>
    <t>1 - Bloco U / 1 - Bloco B</t>
  </si>
  <si>
    <t>Total Mensal</t>
  </si>
  <si>
    <t>Total Anual</t>
  </si>
  <si>
    <t>Total</t>
  </si>
  <si>
    <t>Total Mensal Estimado</t>
  </si>
  <si>
    <t>Total Anual Estimado</t>
  </si>
  <si>
    <t>Denominação do perfil</t>
  </si>
  <si>
    <t>Esboço de distribuição</t>
  </si>
  <si>
    <t>Gerente de suporte técnico de tecnologia da informação</t>
  </si>
  <si>
    <t>CBO</t>
  </si>
  <si>
    <t>1425-30</t>
  </si>
  <si>
    <t>3132-20</t>
  </si>
  <si>
    <t>2124-20</t>
  </si>
  <si>
    <t>Gerente de infraestrutura de tecnologia da informação</t>
  </si>
  <si>
    <t xml:space="preserve">1425-5, 1425-15 </t>
  </si>
  <si>
    <t>Administrador de banco de dados -  Senior</t>
  </si>
  <si>
    <t>Administrador de banco de dados -  Pleno</t>
  </si>
  <si>
    <t>Analista de suporte computacional - Senior</t>
  </si>
  <si>
    <t>Analista de suporte computacional - Pleno</t>
  </si>
  <si>
    <t>Técnico de suporte ao usuário de tecnologia da informação - Senior</t>
  </si>
  <si>
    <t>Analista de sistemas de automação - Pleno</t>
  </si>
  <si>
    <t>Analista de sistemas de automação - Senior</t>
  </si>
  <si>
    <t>Analista de redes e de comunicação de dados Senior</t>
  </si>
  <si>
    <t>Analista de redes e de comunicação de dados Pleno</t>
  </si>
  <si>
    <t>2123-5</t>
  </si>
  <si>
    <t>2124-15, 2124-25</t>
  </si>
  <si>
    <t>2124-10, 2123-10</t>
  </si>
  <si>
    <t>NOC</t>
  </si>
  <si>
    <t>Técnico em manutenção de equipamentos de informática Senior</t>
  </si>
  <si>
    <t>N2: 2 - Bloco U / 2 - Bloco B / 1 - BDB / 2 - Venâncio / 1 - CTAV / 1 - Cinemateca
N1: 3</t>
  </si>
  <si>
    <t>3172-10</t>
  </si>
  <si>
    <t>1425-25</t>
  </si>
  <si>
    <t>2123-20</t>
  </si>
  <si>
    <t>Administrador de sistemas operacionais Pleno</t>
  </si>
  <si>
    <t>Administrador de sistemas operacionais Sênior</t>
  </si>
  <si>
    <t>2123-15</t>
  </si>
  <si>
    <t>Operação, projetos e SOC</t>
  </si>
  <si>
    <t>PERFIL</t>
  </si>
  <si>
    <t>Técnico de suporte ao usuário de tecnologia da informação Junior</t>
  </si>
  <si>
    <t>Técnico de suporte ao usuário de tecnologia da informação Pleno</t>
  </si>
  <si>
    <t>Técnico de suporte ao usuário de tecnologia da informação Senior</t>
  </si>
  <si>
    <t>Técnico em manutenção de equipamentos de informática Junior</t>
  </si>
  <si>
    <t>Técnico em manutenção de equipamentos de informática Pleno</t>
  </si>
  <si>
    <t>Analista de suporte computacional Junior</t>
  </si>
  <si>
    <t>Analista de suporte computacional Pleno</t>
  </si>
  <si>
    <t>Analista de suporte computacional Senior</t>
  </si>
  <si>
    <t>Administrador de banco de dados - Junior</t>
  </si>
  <si>
    <t>Administrador de sistemas operacionais Junior</t>
  </si>
  <si>
    <t>Administrador de sistemas operacionais Senior</t>
  </si>
  <si>
    <t>Analista de redes e de comunicação de dados Junior</t>
  </si>
  <si>
    <t>3133-05,
3133-10</t>
  </si>
  <si>
    <t>Tecnico de Rede (Telecomunicacoes) Junior</t>
  </si>
  <si>
    <t>Tecnico de Rede (Telecomunicacoes) Pleno</t>
  </si>
  <si>
    <t>Tecnico de Rede (Telecomunicacoes) Senior</t>
  </si>
  <si>
    <t>3171-10, 2124-30, 2124-05</t>
  </si>
  <si>
    <t>Desenvolvedor de sistemas de tecnologia da informação Junior</t>
  </si>
  <si>
    <t>Desenvolvedor de sistemas de tecnologia da informação Pleno</t>
  </si>
  <si>
    <t>Desenvolvedor de sistemas de tecnologia da informação Senior</t>
  </si>
  <si>
    <t>Analista de sistemas de automação - Junior</t>
  </si>
  <si>
    <t>Administrador em segurança da informação - Junior</t>
  </si>
  <si>
    <t>Administrador em segurança da informação - Pleno</t>
  </si>
  <si>
    <t>Administrador em segurança da informação - Senior</t>
  </si>
  <si>
    <t>Gerente de segurança da informação</t>
  </si>
  <si>
    <r>
      <t>(A) </t>
    </r>
    <r>
      <rPr>
        <b/>
        <sz val="11"/>
        <rFont val="Calibri"/>
        <family val="2"/>
        <scheme val="minor"/>
      </rPr>
      <t>Quantidade de profissionais com alocação fixa</t>
    </r>
    <r>
      <rPr>
        <sz val="11"/>
        <rFont val="Calibri"/>
        <family val="2"/>
        <scheme val="minor"/>
      </rPr>
      <t> — foi considerada a estimativa do quantitativo atual de profissionais alocados presencialmente no ambiente do Ministério</t>
    </r>
  </si>
  <si>
    <r>
      <t>(B) </t>
    </r>
    <r>
      <rPr>
        <b/>
        <sz val="11"/>
        <rFont val="Calibri"/>
        <family val="2"/>
        <scheme val="minor"/>
      </rPr>
      <t>Jornada fixa</t>
    </r>
    <r>
      <rPr>
        <sz val="11"/>
        <rFont val="Calibri"/>
        <family val="2"/>
        <scheme val="minor"/>
      </rPr>
      <t>— tempo de dedicação diária de 8 horas</t>
    </r>
  </si>
  <si>
    <r>
      <t>(C) </t>
    </r>
    <r>
      <rPr>
        <b/>
        <sz val="11"/>
        <rFont val="Calibri"/>
        <family val="2"/>
        <scheme val="minor"/>
      </rPr>
      <t>Quantidade de profissionais com alocação compartilhada</t>
    </r>
    <r>
      <rPr>
        <sz val="11"/>
        <rFont val="Calibri"/>
        <family val="2"/>
        <scheme val="minor"/>
      </rPr>
      <t> — foi considerada a estimativa do quantitativo atual de profissionais que são compartilhados entre vários órgãos</t>
    </r>
  </si>
  <si>
    <r>
      <t>(D)</t>
    </r>
    <r>
      <rPr>
        <b/>
        <sz val="11"/>
        <rFont val="Calibri"/>
        <family val="2"/>
        <scheme val="minor"/>
      </rPr>
      <t> Jornada compartilhada </t>
    </r>
    <r>
      <rPr>
        <sz val="11"/>
        <rFont val="Calibri"/>
        <family val="2"/>
        <scheme val="minor"/>
      </rPr>
      <t>— levando em conta que os profissionais bimodais atuam em diversos órgãos diferentes, foi considerada uma jornada de 30 minutos diários para fins do cálculo de estimativa</t>
    </r>
  </si>
  <si>
    <r>
      <t>(F) </t>
    </r>
    <r>
      <rPr>
        <b/>
        <sz val="11"/>
        <rFont val="Calibri"/>
        <family val="2"/>
        <scheme val="minor"/>
      </rPr>
      <t>Tempo mensal por categoria </t>
    </r>
    <r>
      <rPr>
        <sz val="11"/>
        <rFont val="Calibri"/>
        <family val="2"/>
        <scheme val="minor"/>
      </rPr>
      <t>— considerando um mês com dia 22 dias úteis, foi calculado o tempo mensal por categoria, tanto dos profissionais em alocação fixa quanto dos profissionais compartilhados</t>
    </r>
  </si>
  <si>
    <r>
      <t>(G) </t>
    </r>
    <r>
      <rPr>
        <b/>
        <sz val="11"/>
        <rFont val="Calibri"/>
        <family val="2"/>
        <scheme val="minor"/>
      </rPr>
      <t>Proporção de profissionais, por categoria </t>
    </r>
    <r>
      <rPr>
        <sz val="11"/>
        <rFont val="Calibri"/>
        <family val="2"/>
        <scheme val="minor"/>
      </rPr>
      <t>— é a fração de profissionais por categoria sobre o quantitativo total</t>
    </r>
  </si>
  <si>
    <r>
      <t>(I) </t>
    </r>
    <r>
      <rPr>
        <b/>
        <sz val="11"/>
        <rFont val="Calibri"/>
        <family val="2"/>
        <scheme val="minor"/>
      </rPr>
      <t>Capacidade para atendimento em tempo esperado, por categoria</t>
    </r>
    <r>
      <rPr>
        <sz val="11"/>
        <rFont val="Calibri"/>
        <family val="2"/>
        <scheme val="minor"/>
      </rPr>
      <t>— Tempo mensal por categoria(F) / Tempo total de atendimento mensal esperado, proporcional por categoria(H)</t>
    </r>
  </si>
  <si>
    <r>
      <t>(J) </t>
    </r>
    <r>
      <rPr>
        <b/>
        <sz val="11"/>
        <rFont val="Calibri"/>
        <family val="2"/>
        <scheme val="minor"/>
      </rPr>
      <t>Possível Déficit </t>
    </r>
    <r>
      <rPr>
        <sz val="11"/>
        <rFont val="Calibri"/>
        <family val="2"/>
        <scheme val="minor"/>
      </rPr>
      <t>— diante da capacidade de atendimento (I), observa-se que o tempo total de chamados é superior ao tempo disponível dos profissionais alocados, caracterizando um possível déficit na alocação da equipe</t>
    </r>
  </si>
  <si>
    <r>
      <t>(K) </t>
    </r>
    <r>
      <rPr>
        <b/>
        <sz val="11"/>
        <rFont val="Calibri"/>
        <family val="2"/>
        <scheme val="minor"/>
      </rPr>
      <t>Quantidade estimada ideal de profissionais por categoria</t>
    </r>
    <r>
      <rPr>
        <sz val="11"/>
        <rFont val="Calibri"/>
        <family val="2"/>
        <scheme val="minor"/>
      </rPr>
      <t>— Considerando o possível déficit, calcula-se a quantidade estimada ideal de profissionais por categoria</t>
    </r>
  </si>
  <si>
    <t>(A)
Quantidade profissionais com alocação fixa</t>
  </si>
  <si>
    <t>(B)
Jornada fixa (8h diárias)</t>
  </si>
  <si>
    <t>(C)
Quantidade profissionais com alocação compartilhada</t>
  </si>
  <si>
    <t>(D)
Jornada compartilhada (30min diários)</t>
  </si>
  <si>
    <t>(E)
Quantidade total de profissionais, por Categoria (atualmente)</t>
  </si>
  <si>
    <t>(F)
Tempo mensal por Categoria (22 dias úteis)</t>
  </si>
  <si>
    <t>(G)
Proporção de profissionais por Categoria</t>
  </si>
  <si>
    <t>(H)
Tempo total de atendimento mensal esperado, proporcional por Categoria</t>
  </si>
  <si>
    <t>(I)
Capacidade para atendimento em tempo esperado, por Categoria</t>
  </si>
  <si>
    <t>(J)
Déficit</t>
  </si>
  <si>
    <t>(K)
Quantidade estimada ideal de profissionais por Categoria, conforme metodologia</t>
  </si>
  <si>
    <t>Contrato MMA 08/2017</t>
  </si>
  <si>
    <r>
      <t>(E) </t>
    </r>
    <r>
      <rPr>
        <b/>
        <sz val="11"/>
        <rFont val="Calibri"/>
        <family val="2"/>
        <scheme val="minor"/>
      </rPr>
      <t>Quantidade total de profissionais, por categoria</t>
    </r>
    <r>
      <rPr>
        <sz val="11"/>
        <rFont val="Calibri"/>
        <family val="2"/>
        <scheme val="minor"/>
      </rPr>
      <t>— quantitativo total de profissionais que atuam no MMA, considerando tanto aqueles que estão em alocação fixa quanto dos profissionais compartilhados</t>
    </r>
  </si>
  <si>
    <r>
      <t>(H) </t>
    </r>
    <r>
      <rPr>
        <b/>
        <sz val="11"/>
        <rFont val="Calibri"/>
        <family val="2"/>
        <scheme val="minor"/>
      </rPr>
      <t>Tempo total de atendimento mensal esperado, proporcional por categoria </t>
    </r>
    <r>
      <rPr>
        <sz val="11"/>
        <rFont val="Calibri"/>
        <family val="2"/>
        <scheme val="minor"/>
      </rPr>
      <t>— considerando o tempo total de atendimento mensal esperado igual à 3.373,67 horas, e a proporção de profissionais por categoria, foi calculado o tempo total por categoria</t>
    </r>
  </si>
  <si>
    <t>Total mensal máximo a ser pago pelo MMA</t>
  </si>
  <si>
    <t>Total profissionais</t>
  </si>
  <si>
    <t>Administrador em segurança da informação - Sênior</t>
  </si>
  <si>
    <t>Base Salarial Portaria</t>
  </si>
  <si>
    <t>TECSUP-01</t>
  </si>
  <si>
    <t>TECSUP-03</t>
  </si>
  <si>
    <t>TECMAN-01</t>
  </si>
  <si>
    <t>TECMAN-02</t>
  </si>
  <si>
    <t>TECMAN-03</t>
  </si>
  <si>
    <t>GERSUP</t>
  </si>
  <si>
    <t xml:space="preserve">PORTARIA SGD/ME Nº 6.432, DE 15 DE JUNHO DE 2021 </t>
  </si>
  <si>
    <t>Cenário B Item de Configuração (USI)*</t>
  </si>
  <si>
    <t>Cenário C - Remuneração Mensal por Categoria</t>
  </si>
  <si>
    <t>Cenário D - Posto de Trabalho</t>
  </si>
  <si>
    <t>Estimativa do TCO ao longo dos anos</t>
  </si>
  <si>
    <t>ICTI</t>
  </si>
  <si>
    <t>Grupo</t>
  </si>
  <si>
    <t>Descrição</t>
  </si>
  <si>
    <t>Serviços de sustentação e melhoria contínua de Central de Serviços e Monitoramento</t>
  </si>
  <si>
    <t>Serviços de gerenciamento técnico das operações e projetos de sustentação e melhoria contínua de infraestrutura de TIC</t>
  </si>
  <si>
    <t>Serviços de sustentação e melhoria contínua de Banco de Dados</t>
  </si>
  <si>
    <t>Serviços de sustentação e melhoria contínua de Servidores de Aplicação, Virtualização e Computação em Nuvem</t>
  </si>
  <si>
    <t>Serviços de sustentação e melhoria contínua de Serviços Corporativos</t>
  </si>
  <si>
    <t>Serviços de sustentação e melhoria contínua de Armazenamento e Backup</t>
  </si>
  <si>
    <t>Serviços de sustentação e melhoria contínua de Redes</t>
  </si>
  <si>
    <t>Serviços de sustentação e melhoria contínua de Segurança da Informação</t>
  </si>
  <si>
    <t>Serviços de sustentação e melhoria contínua dos ambientes e processos DevOps</t>
  </si>
  <si>
    <t>Item</t>
  </si>
  <si>
    <t>Unidade</t>
  </si>
  <si>
    <t>Mês</t>
  </si>
  <si>
    <t>Custo Anual Máximo</t>
  </si>
  <si>
    <t>Custo Unitário Mensal</t>
  </si>
  <si>
    <t>OBJETO</t>
  </si>
  <si>
    <t>TOTAL MENSAL</t>
  </si>
  <si>
    <t>TOTAL ANUAL</t>
  </si>
  <si>
    <t>Prestação de serviços de sustentação e melhoria contínua de infraestrutura de TIC, sob o modelo de remuneração mensal por categoria de serviço com Nível Mínimo de Serviços (NMSE), sem garantia de consumo mínimo e sem dedicação exclusiva.</t>
  </si>
  <si>
    <t>COD PERFIL</t>
  </si>
  <si>
    <t>Valor Salarial (R$)
2022</t>
  </si>
  <si>
    <t>Variação do Salário 2021/2020 (%)</t>
  </si>
  <si>
    <t>Coeficiente de Variação (CV)
Amostras 2022</t>
  </si>
  <si>
    <t>CAGED</t>
  </si>
  <si>
    <t>PNAD</t>
  </si>
  <si>
    <t>Contratações Similares</t>
  </si>
  <si>
    <t>Guias Salariais</t>
  </si>
  <si>
    <t>TECSUP-02</t>
  </si>
  <si>
    <t>ASUPCOMP-01</t>
  </si>
  <si>
    <t>ASUPCOMP-02</t>
  </si>
  <si>
    <t>ASUPCOMP-03</t>
  </si>
  <si>
    <t>GERINF</t>
  </si>
  <si>
    <t>ABD-01</t>
  </si>
  <si>
    <t>ABD-02</t>
  </si>
  <si>
    <t>ABD-03</t>
  </si>
  <si>
    <t>ASO-01</t>
  </si>
  <si>
    <t>ASO-02</t>
  </si>
  <si>
    <t>ASO-03</t>
  </si>
  <si>
    <t>ARED-01</t>
  </si>
  <si>
    <t>ARED-02</t>
  </si>
  <si>
    <t>ARED-03</t>
  </si>
  <si>
    <t>TECRED-01</t>
  </si>
  <si>
    <t>TECRED-02</t>
  </si>
  <si>
    <t>TECRED-03</t>
  </si>
  <si>
    <t>DESTEC-01</t>
  </si>
  <si>
    <t>DESTEC-02</t>
  </si>
  <si>
    <t>DESTEC-03</t>
  </si>
  <si>
    <t>ASISA-01</t>
  </si>
  <si>
    <t>ASISA-02</t>
  </si>
  <si>
    <t>ASISA-03</t>
  </si>
  <si>
    <t>ASEG-01</t>
  </si>
  <si>
    <t>ASEG-02</t>
  </si>
  <si>
    <t>ASEG-03</t>
  </si>
  <si>
    <t>GERSEG</t>
  </si>
  <si>
    <t>Valor Salarial (R$) 2021</t>
  </si>
  <si>
    <t>Portaria SGD/ME Nº 4.668 de 23 de maio de 2022.</t>
  </si>
  <si>
    <t>Portaria SGD/ME Nº 6.432 de 15 de Junho de 2021.</t>
  </si>
  <si>
    <t>Nº de Amostras 2022</t>
  </si>
  <si>
    <t>PORTARIA SGD/ME Nº 4.668, DE 23 DE MAIO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</si>
</sst>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-[$R$-416]* #,##0.00_-;\-[$R$-416]* #,##0.00_-;_-[$R$-416]* &quot;-&quot;??_-;_-@"/>
    <numFmt numFmtId="165" formatCode="_-[$R$-416]\ * #,##0.00_-;\-[$R$-416]\ * #,##0.00_-;_-[$R$-416]\ * &quot;-&quot;??_-;_-@_-"/>
    <numFmt numFmtId="166" formatCode="[$R$ -416]#,##0.00"/>
    <numFmt numFmtId="167" formatCode="&quot; &quot;[$R$-416]&quot; &quot;#,##0.00&quot; &quot;;&quot;-&quot;[$R$-416]&quot; &quot;#,##0.00&quot; &quot;;&quot; &quot;[$R$-416]&quot; -&quot;00&quot; &quot;;&quot; &quot;@&quot; &quot;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9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0"/>
      <color rgb="FF000000"/>
      <name val="Arial"/>
      <family val="2"/>
    </font>
    <font>
      <b/>
      <sz val="10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rgb="FFFF0000"/>
      <name val="Calibri"/>
      <family val="2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7B7B7"/>
        <bgColor rgb="FFB7B7B7"/>
      </patternFill>
    </fill>
    <fill>
      <patternFill patternType="solid">
        <fgColor rgb="FFEFEFEF"/>
        <bgColor rgb="FFEFEFEF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theme="0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  <xf numFmtId="0" fontId="15" fillId="0" borderId="0"/>
    <xf numFmtId="0" fontId="13" fillId="0" borderId="0"/>
    <xf numFmtId="167" fontId="13" fillId="0" borderId="0" applyFont="0" applyFill="0" applyBorder="0" applyAlignment="0" applyProtection="0"/>
    <xf numFmtId="0" fontId="15" fillId="0" borderId="0" applyNumberFormat="0" applyBorder="0" applyProtection="0"/>
  </cellStyleXfs>
  <cellXfs count="161">
    <xf numFmtId="0" fontId="0" fillId="0" borderId="0" xfId="0"/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5" fillId="0" borderId="2" xfId="0" applyNumberFormat="1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9" fontId="0" fillId="0" borderId="4" xfId="1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9" fontId="0" fillId="0" borderId="4" xfId="1" applyFont="1" applyBorder="1" applyAlignment="1">
      <alignment horizontal="center" vertical="center"/>
    </xf>
    <xf numFmtId="9" fontId="4" fillId="0" borderId="4" xfId="1" applyFont="1" applyBorder="1" applyAlignment="1">
      <alignment horizontal="center" vertical="center"/>
    </xf>
    <xf numFmtId="1" fontId="0" fillId="4" borderId="4" xfId="0" applyNumberForma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165" fontId="0" fillId="0" borderId="11" xfId="0" applyNumberFormat="1" applyBorder="1" applyAlignment="1">
      <alignment horizontal="center" vertical="center" wrapText="1"/>
    </xf>
    <xf numFmtId="165" fontId="0" fillId="0" borderId="7" xfId="0" applyNumberFormat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165" fontId="0" fillId="3" borderId="0" xfId="0" applyNumberFormat="1" applyFill="1" applyBorder="1" applyAlignment="1">
      <alignment horizontal="center" vertical="center" wrapText="1"/>
    </xf>
    <xf numFmtId="165" fontId="0" fillId="3" borderId="11" xfId="0" applyNumberForma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left" vertical="center" wrapText="1"/>
    </xf>
    <xf numFmtId="0" fontId="0" fillId="6" borderId="0" xfId="0" applyFill="1" applyBorder="1" applyAlignment="1">
      <alignment horizontal="center" vertical="center" wrapText="1"/>
    </xf>
    <xf numFmtId="165" fontId="0" fillId="6" borderId="11" xfId="0" applyNumberFormat="1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right" vertical="center" wrapText="1"/>
    </xf>
    <xf numFmtId="44" fontId="0" fillId="0" borderId="0" xfId="2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3" borderId="0" xfId="0" applyFont="1" applyFill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1" fontId="0" fillId="0" borderId="0" xfId="0" applyNumberFormat="1" applyAlignment="1">
      <alignment horizontal="center" vertical="center"/>
    </xf>
    <xf numFmtId="1" fontId="14" fillId="4" borderId="4" xfId="0" applyNumberFormat="1" applyFont="1" applyFill="1" applyBorder="1" applyAlignment="1">
      <alignment horizontal="center" vertical="center"/>
    </xf>
    <xf numFmtId="49" fontId="17" fillId="8" borderId="1" xfId="7" applyNumberFormat="1" applyFont="1" applyFill="1" applyBorder="1" applyAlignment="1">
      <alignment horizontal="center" vertical="center" wrapText="1"/>
    </xf>
    <xf numFmtId="49" fontId="16" fillId="0" borderId="16" xfId="7" applyNumberFormat="1" applyFont="1" applyFill="1" applyBorder="1" applyAlignment="1">
      <alignment horizontal="left" vertical="center"/>
    </xf>
    <xf numFmtId="49" fontId="16" fillId="9" borderId="16" xfId="7" applyNumberFormat="1" applyFont="1" applyFill="1" applyBorder="1" applyAlignment="1">
      <alignment horizontal="left" vertical="center"/>
    </xf>
    <xf numFmtId="166" fontId="16" fillId="9" borderId="16" xfId="7" applyNumberFormat="1" applyFont="1" applyFill="1" applyBorder="1" applyAlignment="1">
      <alignment horizontal="left" vertical="center"/>
    </xf>
    <xf numFmtId="166" fontId="16" fillId="0" borderId="16" xfId="7" applyNumberFormat="1" applyFont="1" applyFill="1" applyBorder="1" applyAlignment="1">
      <alignment horizontal="left" vertical="center"/>
    </xf>
    <xf numFmtId="166" fontId="16" fillId="0" borderId="17" xfId="7" applyNumberFormat="1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 indent="4"/>
    </xf>
    <xf numFmtId="0" fontId="14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6" borderId="0" xfId="0" applyFill="1" applyBorder="1" applyAlignment="1">
      <alignment horizontal="right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1" fontId="0" fillId="0" borderId="0" xfId="0" applyNumberFormat="1" applyAlignment="1">
      <alignment horizontal="center" vertical="center" wrapText="1"/>
    </xf>
    <xf numFmtId="44" fontId="0" fillId="6" borderId="0" xfId="2" applyFont="1" applyFill="1" applyAlignment="1">
      <alignment horizontal="center" vertical="center" wrapText="1"/>
    </xf>
    <xf numFmtId="0" fontId="2" fillId="6" borderId="0" xfId="0" applyFont="1" applyFill="1" applyAlignment="1">
      <alignment vertical="center"/>
    </xf>
    <xf numFmtId="44" fontId="2" fillId="6" borderId="0" xfId="0" applyNumberFormat="1" applyFont="1" applyFill="1" applyAlignment="1">
      <alignment vertical="center"/>
    </xf>
    <xf numFmtId="1" fontId="2" fillId="6" borderId="0" xfId="0" applyNumberFormat="1" applyFont="1" applyFill="1" applyAlignment="1">
      <alignment horizontal="center" vertical="center" wrapText="1"/>
    </xf>
    <xf numFmtId="1" fontId="0" fillId="0" borderId="0" xfId="0" applyNumberFormat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0" fillId="6" borderId="0" xfId="0" applyFill="1" applyBorder="1" applyAlignment="1">
      <alignment vertical="center" wrapText="1"/>
    </xf>
    <xf numFmtId="0" fontId="0" fillId="6" borderId="6" xfId="0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" fontId="0" fillId="3" borderId="0" xfId="0" applyNumberFormat="1" applyFill="1" applyBorder="1" applyAlignment="1">
      <alignment horizontal="center" vertical="center" wrapText="1"/>
    </xf>
    <xf numFmtId="10" fontId="3" fillId="5" borderId="19" xfId="0" applyNumberFormat="1" applyFont="1" applyFill="1" applyBorder="1" applyAlignment="1">
      <alignment horizontal="center" vertical="center" wrapText="1"/>
    </xf>
    <xf numFmtId="44" fontId="0" fillId="0" borderId="0" xfId="2" applyFont="1"/>
    <xf numFmtId="44" fontId="0" fillId="0" borderId="0" xfId="0" applyNumberFormat="1"/>
    <xf numFmtId="10" fontId="0" fillId="0" borderId="0" xfId="0" applyNumberFormat="1"/>
    <xf numFmtId="0" fontId="20" fillId="0" borderId="1" xfId="0" applyFont="1" applyBorder="1" applyAlignment="1">
      <alignment horizontal="left" vertical="center" wrapText="1"/>
    </xf>
    <xf numFmtId="0" fontId="20" fillId="0" borderId="3" xfId="0" applyFont="1" applyBorder="1" applyAlignment="1">
      <alignment vertical="center" wrapText="1"/>
    </xf>
    <xf numFmtId="0" fontId="0" fillId="0" borderId="0" xfId="0" applyAlignment="1"/>
    <xf numFmtId="0" fontId="20" fillId="0" borderId="3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19" fillId="12" borderId="17" xfId="0" applyFont="1" applyFill="1" applyBorder="1" applyAlignment="1">
      <alignment horizontal="center" vertical="center" wrapText="1"/>
    </xf>
    <xf numFmtId="0" fontId="0" fillId="12" borderId="0" xfId="0" applyFill="1"/>
    <xf numFmtId="44" fontId="2" fillId="0" borderId="0" xfId="0" applyNumberFormat="1" applyFont="1"/>
    <xf numFmtId="0" fontId="2" fillId="11" borderId="23" xfId="0" applyFont="1" applyFill="1" applyBorder="1" applyAlignment="1">
      <alignment vertical="center"/>
    </xf>
    <xf numFmtId="0" fontId="0" fillId="0" borderId="0" xfId="0" applyBorder="1" applyAlignment="1">
      <alignment vertical="center" wrapText="1"/>
    </xf>
    <xf numFmtId="0" fontId="21" fillId="8" borderId="1" xfId="0" applyFont="1" applyFill="1" applyBorder="1" applyAlignment="1">
      <alignment horizontal="center" vertical="center"/>
    </xf>
    <xf numFmtId="49" fontId="22" fillId="8" borderId="1" xfId="0" applyNumberFormat="1" applyFont="1" applyFill="1" applyBorder="1" applyAlignment="1">
      <alignment horizontal="center" vertical="center" wrapText="1"/>
    </xf>
    <xf numFmtId="49" fontId="5" fillId="8" borderId="15" xfId="0" applyNumberFormat="1" applyFont="1" applyFill="1" applyBorder="1" applyAlignment="1">
      <alignment horizontal="center" vertical="center" wrapText="1"/>
    </xf>
    <xf numFmtId="49" fontId="23" fillId="8" borderId="1" xfId="0" applyNumberFormat="1" applyFont="1" applyFill="1" applyBorder="1" applyAlignment="1">
      <alignment horizontal="center" vertical="center" wrapText="1"/>
    </xf>
    <xf numFmtId="0" fontId="24" fillId="13" borderId="3" xfId="0" applyFont="1" applyFill="1" applyBorder="1" applyAlignment="1">
      <alignment horizontal="left"/>
    </xf>
    <xf numFmtId="0" fontId="25" fillId="13" borderId="25" xfId="0" applyFont="1" applyFill="1" applyBorder="1"/>
    <xf numFmtId="166" fontId="25" fillId="13" borderId="25" xfId="0" applyNumberFormat="1" applyFont="1" applyFill="1" applyBorder="1" applyAlignment="1">
      <alignment horizontal="right"/>
    </xf>
    <xf numFmtId="10" fontId="25" fillId="13" borderId="25" xfId="0" applyNumberFormat="1" applyFont="1" applyFill="1" applyBorder="1" applyAlignment="1">
      <alignment horizontal="center"/>
    </xf>
    <xf numFmtId="3" fontId="25" fillId="13" borderId="16" xfId="0" applyNumberFormat="1" applyFont="1" applyFill="1" applyBorder="1" applyAlignment="1">
      <alignment horizontal="center" vertical="center"/>
    </xf>
    <xf numFmtId="3" fontId="25" fillId="13" borderId="3" xfId="0" applyNumberFormat="1" applyFont="1" applyFill="1" applyBorder="1" applyAlignment="1">
      <alignment horizontal="center" vertical="center"/>
    </xf>
    <xf numFmtId="0" fontId="24" fillId="13" borderId="16" xfId="0" applyFont="1" applyFill="1" applyBorder="1" applyAlignment="1">
      <alignment horizontal="left"/>
    </xf>
    <xf numFmtId="0" fontId="25" fillId="13" borderId="26" xfId="0" applyFont="1" applyFill="1" applyBorder="1"/>
    <xf numFmtId="166" fontId="25" fillId="13" borderId="26" xfId="0" applyNumberFormat="1" applyFont="1" applyFill="1" applyBorder="1" applyAlignment="1">
      <alignment horizontal="right"/>
    </xf>
    <xf numFmtId="10" fontId="25" fillId="13" borderId="26" xfId="0" applyNumberFormat="1" applyFont="1" applyFill="1" applyBorder="1" applyAlignment="1">
      <alignment horizontal="center"/>
    </xf>
    <xf numFmtId="0" fontId="24" fillId="9" borderId="16" xfId="0" applyFont="1" applyFill="1" applyBorder="1" applyAlignment="1">
      <alignment horizontal="left"/>
    </xf>
    <xf numFmtId="0" fontId="25" fillId="9" borderId="26" xfId="0" applyFont="1" applyFill="1" applyBorder="1"/>
    <xf numFmtId="166" fontId="25" fillId="9" borderId="26" xfId="0" applyNumberFormat="1" applyFont="1" applyFill="1" applyBorder="1" applyAlignment="1">
      <alignment horizontal="right"/>
    </xf>
    <xf numFmtId="10" fontId="25" fillId="9" borderId="26" xfId="0" applyNumberFormat="1" applyFont="1" applyFill="1" applyBorder="1" applyAlignment="1">
      <alignment horizontal="center"/>
    </xf>
    <xf numFmtId="3" fontId="25" fillId="9" borderId="16" xfId="0" applyNumberFormat="1" applyFont="1" applyFill="1" applyBorder="1" applyAlignment="1">
      <alignment horizontal="center" vertical="center"/>
    </xf>
    <xf numFmtId="0" fontId="24" fillId="0" borderId="16" xfId="0" applyFont="1" applyBorder="1" applyAlignment="1">
      <alignment horizontal="left"/>
    </xf>
    <xf numFmtId="0" fontId="25" fillId="0" borderId="26" xfId="0" applyFont="1" applyBorder="1"/>
    <xf numFmtId="166" fontId="25" fillId="0" borderId="26" xfId="0" applyNumberFormat="1" applyFont="1" applyBorder="1" applyAlignment="1">
      <alignment horizontal="right"/>
    </xf>
    <xf numFmtId="10" fontId="25" fillId="0" borderId="26" xfId="0" applyNumberFormat="1" applyFont="1" applyBorder="1" applyAlignment="1">
      <alignment horizontal="center"/>
    </xf>
    <xf numFmtId="3" fontId="25" fillId="0" borderId="16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left"/>
    </xf>
    <xf numFmtId="0" fontId="25" fillId="0" borderId="27" xfId="0" applyFont="1" applyBorder="1"/>
    <xf numFmtId="166" fontId="25" fillId="0" borderId="27" xfId="0" applyNumberFormat="1" applyFont="1" applyBorder="1" applyAlignment="1">
      <alignment horizontal="right"/>
    </xf>
    <xf numFmtId="10" fontId="25" fillId="0" borderId="27" xfId="0" applyNumberFormat="1" applyFont="1" applyBorder="1" applyAlignment="1">
      <alignment horizontal="center"/>
    </xf>
    <xf numFmtId="3" fontId="25" fillId="0" borderId="17" xfId="0" applyNumberFormat="1" applyFont="1" applyBorder="1" applyAlignment="1">
      <alignment horizontal="center" vertical="center"/>
    </xf>
    <xf numFmtId="0" fontId="21" fillId="8" borderId="1" xfId="0" applyFont="1" applyFill="1" applyBorder="1" applyAlignment="1">
      <alignment horizontal="center" vertical="center" wrapText="1"/>
    </xf>
    <xf numFmtId="164" fontId="27" fillId="3" borderId="0" xfId="3" applyNumberFormat="1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4" fontId="27" fillId="0" borderId="0" xfId="3" applyNumberFormat="1" applyFont="1" applyFill="1" applyBorder="1" applyAlignment="1">
      <alignment horizontal="right" vertical="center"/>
    </xf>
    <xf numFmtId="166" fontId="28" fillId="13" borderId="25" xfId="0" applyNumberFormat="1" applyFont="1" applyFill="1" applyBorder="1" applyAlignment="1">
      <alignment horizontal="right"/>
    </xf>
    <xf numFmtId="166" fontId="28" fillId="13" borderId="26" xfId="0" applyNumberFormat="1" applyFont="1" applyFill="1" applyBorder="1" applyAlignment="1">
      <alignment horizontal="right"/>
    </xf>
    <xf numFmtId="166" fontId="28" fillId="9" borderId="26" xfId="0" applyNumberFormat="1" applyFont="1" applyFill="1" applyBorder="1" applyAlignment="1">
      <alignment horizontal="right"/>
    </xf>
    <xf numFmtId="166" fontId="28" fillId="0" borderId="26" xfId="0" applyNumberFormat="1" applyFont="1" applyBorder="1" applyAlignment="1">
      <alignment horizontal="right"/>
    </xf>
    <xf numFmtId="166" fontId="28" fillId="0" borderId="27" xfId="0" applyNumberFormat="1" applyFont="1" applyBorder="1" applyAlignment="1">
      <alignment horizontal="right"/>
    </xf>
    <xf numFmtId="2" fontId="29" fillId="5" borderId="14" xfId="0" applyNumberFormat="1" applyFont="1" applyFill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10" fontId="29" fillId="5" borderId="20" xfId="1" applyNumberFormat="1" applyFont="1" applyFill="1" applyBorder="1" applyAlignment="1">
      <alignment horizontal="center" vertical="center" wrapText="1"/>
    </xf>
    <xf numFmtId="165" fontId="0" fillId="6" borderId="28" xfId="0" applyNumberFormat="1" applyFill="1" applyBorder="1" applyAlignment="1">
      <alignment horizontal="center" vertical="center" wrapText="1"/>
    </xf>
    <xf numFmtId="0" fontId="2" fillId="6" borderId="0" xfId="0" applyFont="1" applyFill="1" applyAlignment="1">
      <alignment horizontal="right" vertical="center" wrapText="1"/>
    </xf>
    <xf numFmtId="0" fontId="2" fillId="6" borderId="0" xfId="0" applyFont="1" applyFill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0" fillId="7" borderId="5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1" fontId="0" fillId="3" borderId="0" xfId="0" applyNumberForma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3" fontId="25" fillId="0" borderId="16" xfId="0" applyNumberFormat="1" applyFont="1" applyBorder="1" applyAlignment="1">
      <alignment horizontal="center" vertical="center"/>
    </xf>
    <xf numFmtId="0" fontId="26" fillId="0" borderId="16" xfId="0" applyFont="1" applyBorder="1"/>
    <xf numFmtId="3" fontId="25" fillId="9" borderId="16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3" fontId="25" fillId="13" borderId="3" xfId="0" applyNumberFormat="1" applyFont="1" applyFill="1" applyBorder="1" applyAlignment="1">
      <alignment horizontal="center" vertical="center"/>
    </xf>
    <xf numFmtId="0" fontId="2" fillId="10" borderId="24" xfId="0" applyFont="1" applyFill="1" applyBorder="1" applyAlignment="1">
      <alignment horizontal="center" vertical="center"/>
    </xf>
    <xf numFmtId="0" fontId="2" fillId="10" borderId="0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8">
    <cellStyle name="Moeda" xfId="2" builtinId="4"/>
    <cellStyle name="Moeda 2" xfId="6" xr:uid="{29EDE924-2023-4526-9B28-B2C590B2FC4A}"/>
    <cellStyle name="Normal" xfId="0" builtinId="0"/>
    <cellStyle name="Normal 2" xfId="3" xr:uid="{746CDD55-2B18-4D3D-8EAF-092C66FACCC2}"/>
    <cellStyle name="Normal 2 2" xfId="7" xr:uid="{0D0DB346-4085-4454-BCA0-2202EB9E1B40}"/>
    <cellStyle name="Normal 3" xfId="4" xr:uid="{654ACC6C-4097-455C-9CA6-946F60819812}"/>
    <cellStyle name="Normal 4" xfId="5" xr:uid="{E8D1FF89-6349-4DE8-9F1E-5D0B1AE87D13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856C6-B65C-4D50-B709-F817780769BE}">
  <dimension ref="B3:E16"/>
  <sheetViews>
    <sheetView tabSelected="1" workbookViewId="0">
      <selection activeCell="L10" sqref="L10"/>
    </sheetView>
  </sheetViews>
  <sheetFormatPr defaultColWidth="9.1796875" defaultRowHeight="14.5" x14ac:dyDescent="0.35"/>
  <cols>
    <col min="1" max="1" width="9.1796875" style="7"/>
    <col min="2" max="2" width="7.81640625" style="7" bestFit="1" customWidth="1"/>
    <col min="3" max="3" width="45.81640625" style="7" bestFit="1" customWidth="1"/>
    <col min="4" max="4" width="16.1796875" style="7" customWidth="1"/>
    <col min="5" max="5" width="23.7265625" style="7" customWidth="1"/>
    <col min="6" max="16384" width="9.1796875" style="7"/>
  </cols>
  <sheetData>
    <row r="3" spans="2:5" ht="45" customHeight="1" x14ac:dyDescent="0.35">
      <c r="B3" s="41" t="s">
        <v>0</v>
      </c>
      <c r="C3" s="41" t="s">
        <v>16</v>
      </c>
      <c r="D3" s="41" t="s">
        <v>18</v>
      </c>
      <c r="E3" s="41" t="s">
        <v>109</v>
      </c>
    </row>
    <row r="4" spans="2:5" x14ac:dyDescent="0.35">
      <c r="B4" s="21">
        <v>1</v>
      </c>
      <c r="C4" s="21" t="s">
        <v>14</v>
      </c>
      <c r="D4" s="66">
        <f>'Estimativa Demanda'!N3</f>
        <v>14</v>
      </c>
      <c r="E4" s="39">
        <f>'Custos Fator K'!J10</f>
        <v>149228.90100000001</v>
      </c>
    </row>
    <row r="5" spans="2:5" x14ac:dyDescent="0.35">
      <c r="B5" s="21">
        <v>2</v>
      </c>
      <c r="C5" s="21" t="s">
        <v>13</v>
      </c>
      <c r="D5" s="66">
        <f>'Estimativa Demanda'!N4</f>
        <v>1</v>
      </c>
      <c r="E5" s="39">
        <f>'Custos Fator K'!J12</f>
        <v>38968.170000000006</v>
      </c>
    </row>
    <row r="6" spans="2:5" x14ac:dyDescent="0.35">
      <c r="B6" s="21">
        <v>3</v>
      </c>
      <c r="C6" s="21" t="s">
        <v>1</v>
      </c>
      <c r="D6" s="66">
        <f>'Estimativa Demanda'!N5</f>
        <v>2</v>
      </c>
      <c r="E6" s="39">
        <f>'Custos Fator K'!J14</f>
        <v>46666.770000000004</v>
      </c>
    </row>
    <row r="7" spans="2:5" x14ac:dyDescent="0.35">
      <c r="B7" s="21">
        <v>4</v>
      </c>
      <c r="C7" s="21" t="s">
        <v>15</v>
      </c>
      <c r="D7" s="66">
        <f>'Estimativa Demanda'!N6</f>
        <v>2</v>
      </c>
      <c r="E7" s="39">
        <f>'Custos Fator K'!J16</f>
        <v>39202.934999999998</v>
      </c>
    </row>
    <row r="8" spans="2:5" x14ac:dyDescent="0.35">
      <c r="B8" s="21">
        <v>5</v>
      </c>
      <c r="C8" s="21" t="s">
        <v>2</v>
      </c>
      <c r="D8" s="66">
        <f>'Estimativa Demanda'!N7</f>
        <v>2</v>
      </c>
      <c r="E8" s="39">
        <f>'Custos Fator K'!J18</f>
        <v>30977.23</v>
      </c>
    </row>
    <row r="9" spans="2:5" x14ac:dyDescent="0.35">
      <c r="B9" s="21">
        <v>6</v>
      </c>
      <c r="C9" s="21" t="s">
        <v>3</v>
      </c>
      <c r="D9" s="66">
        <f>'Estimativa Demanda'!N8</f>
        <v>2</v>
      </c>
      <c r="E9" s="39">
        <f>'Custos Fator K'!J20</f>
        <v>30977.23</v>
      </c>
    </row>
    <row r="10" spans="2:5" x14ac:dyDescent="0.35">
      <c r="B10" s="21">
        <v>7</v>
      </c>
      <c r="C10" s="21" t="s">
        <v>4</v>
      </c>
      <c r="D10" s="66">
        <f>'Estimativa Demanda'!N9</f>
        <v>2</v>
      </c>
      <c r="E10" s="39">
        <f>'Custos Fator K'!J22</f>
        <v>33397.448000000004</v>
      </c>
    </row>
    <row r="11" spans="2:5" x14ac:dyDescent="0.35">
      <c r="B11" s="21">
        <v>8</v>
      </c>
      <c r="C11" s="21" t="s">
        <v>21</v>
      </c>
      <c r="D11" s="66">
        <f>'Estimativa Demanda'!N10</f>
        <v>2</v>
      </c>
      <c r="E11" s="39">
        <f>'Custos Fator K'!J25</f>
        <v>70386.165999999997</v>
      </c>
    </row>
    <row r="12" spans="2:5" ht="15" customHeight="1" x14ac:dyDescent="0.35">
      <c r="B12" s="21">
        <v>9</v>
      </c>
      <c r="C12" s="21" t="s">
        <v>5</v>
      </c>
      <c r="D12" s="66">
        <f>'Estimativa Demanda'!N11</f>
        <v>2</v>
      </c>
      <c r="E12" s="39">
        <f>'Custos Fator K'!J27</f>
        <v>38266.507000000005</v>
      </c>
    </row>
    <row r="13" spans="2:5" ht="15" customHeight="1" x14ac:dyDescent="0.35">
      <c r="B13" s="139" t="s">
        <v>110</v>
      </c>
      <c r="C13" s="139"/>
      <c r="D13" s="70">
        <f>SUM(D4:D12)</f>
        <v>29</v>
      </c>
      <c r="E13" s="67"/>
    </row>
    <row r="14" spans="2:5" ht="15" customHeight="1" x14ac:dyDescent="0.35">
      <c r="B14" s="140" t="s">
        <v>27</v>
      </c>
      <c r="C14" s="140"/>
      <c r="D14" s="68"/>
      <c r="E14" s="69">
        <f>SUM(E4:E12)</f>
        <v>478071.35699999996</v>
      </c>
    </row>
    <row r="15" spans="2:5" ht="15" customHeight="1" x14ac:dyDescent="0.35">
      <c r="B15" s="140" t="s">
        <v>28</v>
      </c>
      <c r="C15" s="140"/>
      <c r="D15" s="68"/>
      <c r="E15" s="69">
        <f>E14*12</f>
        <v>5736856.284</v>
      </c>
    </row>
    <row r="16" spans="2:5" ht="15" customHeight="1" x14ac:dyDescent="0.35"/>
  </sheetData>
  <mergeCells count="3"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9C152-F6D0-460C-9E5B-E37ED169377F}">
  <dimension ref="B2:R29"/>
  <sheetViews>
    <sheetView showGridLines="0" zoomScaleNormal="100" workbookViewId="0">
      <selection activeCell="L3" sqref="L3"/>
    </sheetView>
  </sheetViews>
  <sheetFormatPr defaultColWidth="9.1796875" defaultRowHeight="14.5" x14ac:dyDescent="0.35"/>
  <cols>
    <col min="1" max="1" width="4" style="1" customWidth="1"/>
    <col min="2" max="2" width="9.1796875" style="7"/>
    <col min="3" max="3" width="35.7265625" style="1" bestFit="1" customWidth="1"/>
    <col min="4" max="4" width="14.453125" style="1" customWidth="1"/>
    <col min="5" max="5" width="9.54296875" style="1" customWidth="1"/>
    <col min="6" max="6" width="14.26953125" style="1" customWidth="1"/>
    <col min="7" max="7" width="11.7265625" style="1" customWidth="1"/>
    <col min="8" max="8" width="15.1796875" style="1" customWidth="1"/>
    <col min="9" max="9" width="21.7265625" style="1" customWidth="1"/>
    <col min="10" max="10" width="12.54296875" style="1" customWidth="1"/>
    <col min="11" max="11" width="23" style="1" customWidth="1"/>
    <col min="12" max="12" width="18" style="1" customWidth="1"/>
    <col min="13" max="13" width="5.7265625" style="1" customWidth="1"/>
    <col min="14" max="14" width="18.26953125" style="1" customWidth="1"/>
    <col min="15" max="15" width="27.26953125" style="1" customWidth="1"/>
    <col min="16" max="16384" width="9.1796875" style="1"/>
  </cols>
  <sheetData>
    <row r="2" spans="2:18" ht="60" x14ac:dyDescent="0.35">
      <c r="B2" s="19" t="s">
        <v>0</v>
      </c>
      <c r="C2" s="17" t="s">
        <v>16</v>
      </c>
      <c r="D2" s="17" t="s">
        <v>95</v>
      </c>
      <c r="E2" s="17" t="s">
        <v>96</v>
      </c>
      <c r="F2" s="17" t="s">
        <v>97</v>
      </c>
      <c r="G2" s="17" t="s">
        <v>98</v>
      </c>
      <c r="H2" s="17" t="s">
        <v>99</v>
      </c>
      <c r="I2" s="17" t="s">
        <v>100</v>
      </c>
      <c r="J2" s="17" t="s">
        <v>101</v>
      </c>
      <c r="K2" s="17" t="s">
        <v>102</v>
      </c>
      <c r="L2" s="17" t="s">
        <v>103</v>
      </c>
      <c r="M2" s="17" t="s">
        <v>104</v>
      </c>
      <c r="N2" s="17" t="s">
        <v>105</v>
      </c>
    </row>
    <row r="3" spans="2:18" x14ac:dyDescent="0.35">
      <c r="B3" s="18">
        <v>1</v>
      </c>
      <c r="C3" s="10" t="s">
        <v>14</v>
      </c>
      <c r="D3" s="9">
        <v>7</v>
      </c>
      <c r="E3" s="9">
        <f>D3*8</f>
        <v>56</v>
      </c>
      <c r="F3" s="9">
        <v>4</v>
      </c>
      <c r="G3" s="9">
        <f>F3*0.5</f>
        <v>2</v>
      </c>
      <c r="H3" s="9">
        <f>D3+F3</f>
        <v>11</v>
      </c>
      <c r="I3" s="9">
        <f>(E3+G3)*22</f>
        <v>1276</v>
      </c>
      <c r="J3" s="11">
        <f>(D3+F3)/H$12</f>
        <v>0.57894736842105265</v>
      </c>
      <c r="K3" s="12">
        <f t="shared" ref="K3:K11" si="0">K$17*J3</f>
        <v>1806.9468421052634</v>
      </c>
      <c r="L3" s="13">
        <f>I3/K3</f>
        <v>0.70616355183605717</v>
      </c>
      <c r="M3" s="14">
        <f>1-L3</f>
        <v>0.29383644816394283</v>
      </c>
      <c r="N3" s="15">
        <f>ROUND(H3+H3*M3,0)</f>
        <v>14</v>
      </c>
    </row>
    <row r="4" spans="2:18" ht="26" x14ac:dyDescent="0.35">
      <c r="B4" s="18">
        <v>2</v>
      </c>
      <c r="C4" s="10" t="s">
        <v>13</v>
      </c>
      <c r="D4" s="9">
        <v>1</v>
      </c>
      <c r="E4" s="9">
        <v>8</v>
      </c>
      <c r="F4" s="9">
        <v>0</v>
      </c>
      <c r="G4" s="9">
        <f t="shared" ref="G4:G11" si="1">F4*0.5</f>
        <v>0</v>
      </c>
      <c r="H4" s="9">
        <f>D4+F4</f>
        <v>1</v>
      </c>
      <c r="I4" s="9">
        <f>(E4+G4)*22</f>
        <v>176</v>
      </c>
      <c r="J4" s="11">
        <f t="shared" ref="J4:J11" si="2">(D4+F4)/H$12</f>
        <v>5.2631578947368418E-2</v>
      </c>
      <c r="K4" s="12">
        <f t="shared" si="0"/>
        <v>164.26789473684209</v>
      </c>
      <c r="L4" s="13">
        <f>I4/K4</f>
        <v>1.0714205614064318</v>
      </c>
      <c r="M4" s="14">
        <f>1-L4</f>
        <v>-7.1420561406431826E-2</v>
      </c>
      <c r="N4" s="15">
        <f t="shared" ref="N4:N11" si="3">ROUND(H4+H4*M4,0)</f>
        <v>1</v>
      </c>
    </row>
    <row r="5" spans="2:18" x14ac:dyDescent="0.35">
      <c r="B5" s="18">
        <v>3</v>
      </c>
      <c r="C5" s="10" t="s">
        <v>1</v>
      </c>
      <c r="D5" s="9">
        <v>0</v>
      </c>
      <c r="E5" s="9">
        <f t="shared" ref="E5:E11" si="4">D5*8</f>
        <v>0</v>
      </c>
      <c r="F5" s="9">
        <v>1</v>
      </c>
      <c r="G5" s="9">
        <f t="shared" si="1"/>
        <v>0.5</v>
      </c>
      <c r="H5" s="9">
        <f>D5+F5</f>
        <v>1</v>
      </c>
      <c r="I5" s="9">
        <f>(E5+G5)*22</f>
        <v>11</v>
      </c>
      <c r="J5" s="11">
        <f t="shared" si="2"/>
        <v>5.2631578947368418E-2</v>
      </c>
      <c r="K5" s="12">
        <f t="shared" si="0"/>
        <v>164.26789473684209</v>
      </c>
      <c r="L5" s="13">
        <f>I5/K5</f>
        <v>6.6963785087901989E-2</v>
      </c>
      <c r="M5" s="14">
        <f>1-L5</f>
        <v>0.93303621491209798</v>
      </c>
      <c r="N5" s="15">
        <f t="shared" si="3"/>
        <v>2</v>
      </c>
    </row>
    <row r="6" spans="2:18" x14ac:dyDescent="0.35">
      <c r="B6" s="20">
        <v>4</v>
      </c>
      <c r="C6" s="10" t="s">
        <v>15</v>
      </c>
      <c r="D6" s="9">
        <v>0</v>
      </c>
      <c r="E6" s="9">
        <f t="shared" si="4"/>
        <v>0</v>
      </c>
      <c r="F6" s="9">
        <v>1</v>
      </c>
      <c r="G6" s="9">
        <f t="shared" si="1"/>
        <v>0.5</v>
      </c>
      <c r="H6" s="9">
        <f>D6+F6</f>
        <v>1</v>
      </c>
      <c r="I6" s="9">
        <f>(E6+G6)*22</f>
        <v>11</v>
      </c>
      <c r="J6" s="11">
        <f t="shared" si="2"/>
        <v>5.2631578947368418E-2</v>
      </c>
      <c r="K6" s="12">
        <f t="shared" si="0"/>
        <v>164.26789473684209</v>
      </c>
      <c r="L6" s="13">
        <f t="shared" ref="L6" si="5">I6/K6</f>
        <v>6.6963785087901989E-2</v>
      </c>
      <c r="M6" s="14">
        <f t="shared" ref="M6:M11" si="6">1-L6</f>
        <v>0.93303621491209798</v>
      </c>
      <c r="N6" s="15">
        <f t="shared" si="3"/>
        <v>2</v>
      </c>
    </row>
    <row r="7" spans="2:18" x14ac:dyDescent="0.35">
      <c r="B7" s="20">
        <v>5</v>
      </c>
      <c r="C7" s="10" t="s">
        <v>2</v>
      </c>
      <c r="D7" s="9">
        <v>0</v>
      </c>
      <c r="E7" s="9">
        <f t="shared" si="4"/>
        <v>0</v>
      </c>
      <c r="F7" s="9">
        <v>1</v>
      </c>
      <c r="G7" s="9">
        <f t="shared" si="1"/>
        <v>0.5</v>
      </c>
      <c r="H7" s="9">
        <f>D7+F7</f>
        <v>1</v>
      </c>
      <c r="I7" s="9">
        <f>(E7+G7)*22</f>
        <v>11</v>
      </c>
      <c r="J7" s="11">
        <f t="shared" si="2"/>
        <v>5.2631578947368418E-2</v>
      </c>
      <c r="K7" s="12">
        <f t="shared" si="0"/>
        <v>164.26789473684209</v>
      </c>
      <c r="L7" s="13">
        <f>I7/K7</f>
        <v>6.6963785087901989E-2</v>
      </c>
      <c r="M7" s="14">
        <f t="shared" si="6"/>
        <v>0.93303621491209798</v>
      </c>
      <c r="N7" s="15">
        <f t="shared" si="3"/>
        <v>2</v>
      </c>
    </row>
    <row r="8" spans="2:18" x14ac:dyDescent="0.35">
      <c r="B8" s="20">
        <v>6</v>
      </c>
      <c r="C8" s="10" t="s">
        <v>3</v>
      </c>
      <c r="D8" s="9">
        <v>0</v>
      </c>
      <c r="E8" s="9">
        <f t="shared" si="4"/>
        <v>0</v>
      </c>
      <c r="F8" s="9">
        <v>1</v>
      </c>
      <c r="G8" s="9">
        <f t="shared" si="1"/>
        <v>0.5</v>
      </c>
      <c r="H8" s="9">
        <f t="shared" ref="H8:H11" si="7">D8+F8</f>
        <v>1</v>
      </c>
      <c r="I8" s="9">
        <f t="shared" ref="I8:I11" si="8">(E8+G8)*22</f>
        <v>11</v>
      </c>
      <c r="J8" s="11">
        <f t="shared" si="2"/>
        <v>5.2631578947368418E-2</v>
      </c>
      <c r="K8" s="12">
        <f t="shared" si="0"/>
        <v>164.26789473684209</v>
      </c>
      <c r="L8" s="13">
        <f t="shared" ref="L8:L11" si="9">I8/K8</f>
        <v>6.6963785087901989E-2</v>
      </c>
      <c r="M8" s="14">
        <f t="shared" si="6"/>
        <v>0.93303621491209798</v>
      </c>
      <c r="N8" s="15">
        <f t="shared" si="3"/>
        <v>2</v>
      </c>
    </row>
    <row r="9" spans="2:18" x14ac:dyDescent="0.35">
      <c r="B9" s="20">
        <v>7</v>
      </c>
      <c r="C9" s="10" t="s">
        <v>4</v>
      </c>
      <c r="D9" s="9">
        <v>0</v>
      </c>
      <c r="E9" s="9">
        <f t="shared" si="4"/>
        <v>0</v>
      </c>
      <c r="F9" s="9">
        <v>1</v>
      </c>
      <c r="G9" s="9">
        <f t="shared" si="1"/>
        <v>0.5</v>
      </c>
      <c r="H9" s="9">
        <f t="shared" si="7"/>
        <v>1</v>
      </c>
      <c r="I9" s="9">
        <f t="shared" si="8"/>
        <v>11</v>
      </c>
      <c r="J9" s="11">
        <f t="shared" si="2"/>
        <v>5.2631578947368418E-2</v>
      </c>
      <c r="K9" s="12">
        <f t="shared" si="0"/>
        <v>164.26789473684209</v>
      </c>
      <c r="L9" s="13">
        <f t="shared" si="9"/>
        <v>6.6963785087901989E-2</v>
      </c>
      <c r="M9" s="14">
        <f t="shared" si="6"/>
        <v>0.93303621491209798</v>
      </c>
      <c r="N9" s="15">
        <f t="shared" si="3"/>
        <v>2</v>
      </c>
    </row>
    <row r="10" spans="2:18" x14ac:dyDescent="0.35">
      <c r="B10" s="20">
        <v>8</v>
      </c>
      <c r="C10" s="10" t="s">
        <v>21</v>
      </c>
      <c r="D10" s="9">
        <v>0</v>
      </c>
      <c r="E10" s="9">
        <f t="shared" si="4"/>
        <v>0</v>
      </c>
      <c r="F10" s="9">
        <v>1</v>
      </c>
      <c r="G10" s="9">
        <f t="shared" si="1"/>
        <v>0.5</v>
      </c>
      <c r="H10" s="9">
        <f t="shared" si="7"/>
        <v>1</v>
      </c>
      <c r="I10" s="9">
        <f t="shared" si="8"/>
        <v>11</v>
      </c>
      <c r="J10" s="11">
        <f t="shared" si="2"/>
        <v>5.2631578947368418E-2</v>
      </c>
      <c r="K10" s="12">
        <f t="shared" si="0"/>
        <v>164.26789473684209</v>
      </c>
      <c r="L10" s="13">
        <f t="shared" si="9"/>
        <v>6.6963785087901989E-2</v>
      </c>
      <c r="M10" s="14">
        <f t="shared" si="6"/>
        <v>0.93303621491209798</v>
      </c>
      <c r="N10" s="15">
        <f t="shared" si="3"/>
        <v>2</v>
      </c>
    </row>
    <row r="11" spans="2:18" x14ac:dyDescent="0.35">
      <c r="B11" s="20">
        <v>9</v>
      </c>
      <c r="C11" s="10" t="s">
        <v>5</v>
      </c>
      <c r="D11" s="9">
        <v>0</v>
      </c>
      <c r="E11" s="9">
        <f t="shared" si="4"/>
        <v>0</v>
      </c>
      <c r="F11" s="9">
        <v>1</v>
      </c>
      <c r="G11" s="9">
        <f t="shared" si="1"/>
        <v>0.5</v>
      </c>
      <c r="H11" s="9">
        <f t="shared" si="7"/>
        <v>1</v>
      </c>
      <c r="I11" s="9">
        <f t="shared" si="8"/>
        <v>11</v>
      </c>
      <c r="J11" s="11">
        <f t="shared" si="2"/>
        <v>5.2631578947368418E-2</v>
      </c>
      <c r="K11" s="12">
        <f t="shared" si="0"/>
        <v>164.26789473684209</v>
      </c>
      <c r="L11" s="13">
        <f t="shared" si="9"/>
        <v>6.6963785087901989E-2</v>
      </c>
      <c r="M11" s="14">
        <f t="shared" si="6"/>
        <v>0.93303621491209798</v>
      </c>
      <c r="N11" s="15">
        <f t="shared" si="3"/>
        <v>2</v>
      </c>
      <c r="Q11" s="46"/>
    </row>
    <row r="12" spans="2:18" x14ac:dyDescent="0.35">
      <c r="B12"/>
      <c r="D12" s="141" t="s">
        <v>6</v>
      </c>
      <c r="E12" s="141"/>
      <c r="F12" s="141"/>
      <c r="G12" s="141"/>
      <c r="H12" s="16">
        <f>SUM(H3:H11)</f>
        <v>19</v>
      </c>
      <c r="N12" s="47">
        <f>SUM(N3:N11)</f>
        <v>29</v>
      </c>
    </row>
    <row r="13" spans="2:18" x14ac:dyDescent="0.35">
      <c r="B13"/>
      <c r="R13" s="46"/>
    </row>
    <row r="14" spans="2:18" ht="36" customHeight="1" x14ac:dyDescent="0.35">
      <c r="C14" s="2" t="s">
        <v>106</v>
      </c>
      <c r="D14" s="17">
        <v>2018</v>
      </c>
      <c r="E14" s="17">
        <v>2019</v>
      </c>
      <c r="F14" s="17">
        <v>2020</v>
      </c>
      <c r="G14" s="17">
        <v>2021</v>
      </c>
      <c r="H14" s="17" t="s">
        <v>7</v>
      </c>
      <c r="I14" s="17" t="s">
        <v>8</v>
      </c>
      <c r="J14" s="17" t="s">
        <v>9</v>
      </c>
      <c r="K14" s="17" t="s">
        <v>10</v>
      </c>
      <c r="L14" s="56"/>
      <c r="M14" s="56"/>
      <c r="N14" s="56"/>
    </row>
    <row r="15" spans="2:18" x14ac:dyDescent="0.35">
      <c r="C15" s="3" t="s">
        <v>11</v>
      </c>
      <c r="D15" s="4">
        <v>7311</v>
      </c>
      <c r="E15" s="4">
        <v>9335</v>
      </c>
      <c r="F15" s="4">
        <v>6827</v>
      </c>
      <c r="G15" s="4">
        <v>5679</v>
      </c>
      <c r="H15" s="4">
        <f>AVERAGE(D15:G15)</f>
        <v>7288</v>
      </c>
      <c r="I15" s="4">
        <f>H15/12</f>
        <v>607.33333333333337</v>
      </c>
      <c r="J15" s="2">
        <v>4.66</v>
      </c>
      <c r="K15" s="5">
        <f>I15*J15</f>
        <v>2830.1733333333336</v>
      </c>
      <c r="L15" s="56"/>
      <c r="M15" s="56"/>
      <c r="N15" s="56"/>
    </row>
    <row r="16" spans="2:18" x14ac:dyDescent="0.35">
      <c r="C16" s="3" t="s">
        <v>12</v>
      </c>
      <c r="D16" s="4">
        <v>4938</v>
      </c>
      <c r="E16" s="4">
        <v>4834</v>
      </c>
      <c r="F16" s="4">
        <v>2296</v>
      </c>
      <c r="G16" s="4">
        <v>1896</v>
      </c>
      <c r="H16" s="4">
        <f>AVERAGE(D16:G16)</f>
        <v>3491</v>
      </c>
      <c r="I16" s="4">
        <f>H16/12</f>
        <v>290.91666666666669</v>
      </c>
      <c r="J16" s="2">
        <v>1</v>
      </c>
      <c r="K16" s="6">
        <f>I16*J16</f>
        <v>290.91666666666669</v>
      </c>
      <c r="L16" s="56"/>
      <c r="M16" s="56"/>
      <c r="N16" s="56"/>
    </row>
    <row r="17" spans="2:14" x14ac:dyDescent="0.35">
      <c r="C17" s="142"/>
      <c r="D17" s="142"/>
      <c r="E17" s="142"/>
      <c r="F17" s="142"/>
      <c r="G17" s="142"/>
      <c r="H17" s="142"/>
      <c r="I17" s="142"/>
      <c r="J17" s="143"/>
      <c r="K17" s="8">
        <f>SUM(K15:K16)</f>
        <v>3121.09</v>
      </c>
      <c r="L17" s="56"/>
      <c r="M17" s="56"/>
      <c r="N17" s="56"/>
    </row>
    <row r="18" spans="2:14" ht="25.5" customHeight="1" x14ac:dyDescent="0.35">
      <c r="K18" s="56"/>
      <c r="L18" s="56"/>
      <c r="M18" s="56"/>
      <c r="N18" s="56"/>
    </row>
    <row r="19" spans="2:14" x14ac:dyDescent="0.35">
      <c r="B19" s="54" t="s">
        <v>86</v>
      </c>
      <c r="C19" s="55"/>
      <c r="D19" s="55"/>
      <c r="E19" s="55"/>
      <c r="F19" s="55"/>
      <c r="G19" s="55"/>
      <c r="H19" s="55"/>
      <c r="I19" s="55"/>
      <c r="J19" s="55"/>
      <c r="K19" s="40"/>
      <c r="L19" s="40"/>
      <c r="M19" s="40"/>
      <c r="N19" s="40"/>
    </row>
    <row r="20" spans="2:14" x14ac:dyDescent="0.35">
      <c r="B20" s="54" t="s">
        <v>87</v>
      </c>
      <c r="C20" s="55"/>
      <c r="D20" s="55"/>
      <c r="E20" s="55"/>
      <c r="F20" s="55"/>
      <c r="G20" s="55"/>
      <c r="H20" s="55"/>
      <c r="I20" s="55"/>
      <c r="J20" s="55"/>
    </row>
    <row r="21" spans="2:14" x14ac:dyDescent="0.35">
      <c r="B21" s="54" t="s">
        <v>88</v>
      </c>
      <c r="C21" s="55"/>
      <c r="D21" s="55"/>
      <c r="E21" s="55"/>
      <c r="F21" s="55"/>
      <c r="G21" s="55"/>
      <c r="H21" s="55"/>
      <c r="I21" s="55"/>
      <c r="J21" s="55"/>
    </row>
    <row r="22" spans="2:14" x14ac:dyDescent="0.35">
      <c r="B22" s="54" t="s">
        <v>89</v>
      </c>
      <c r="C22" s="55"/>
      <c r="D22" s="55"/>
      <c r="E22" s="55"/>
      <c r="F22" s="55"/>
      <c r="G22" s="55"/>
      <c r="H22" s="55"/>
      <c r="I22" s="55"/>
      <c r="J22" s="55"/>
    </row>
    <row r="23" spans="2:14" x14ac:dyDescent="0.35">
      <c r="B23" s="54" t="s">
        <v>107</v>
      </c>
      <c r="C23" s="55"/>
      <c r="D23" s="55"/>
      <c r="E23" s="55"/>
      <c r="F23" s="55"/>
      <c r="G23" s="55"/>
      <c r="H23" s="55"/>
      <c r="I23" s="55"/>
      <c r="J23" s="55"/>
    </row>
    <row r="24" spans="2:14" x14ac:dyDescent="0.35">
      <c r="B24" s="54" t="s">
        <v>90</v>
      </c>
      <c r="C24" s="55"/>
      <c r="D24" s="55"/>
      <c r="E24" s="55"/>
      <c r="F24" s="55"/>
      <c r="G24" s="55"/>
      <c r="H24" s="55"/>
      <c r="I24" s="55"/>
      <c r="J24" s="55"/>
    </row>
    <row r="25" spans="2:14" x14ac:dyDescent="0.35">
      <c r="B25" s="54" t="s">
        <v>91</v>
      </c>
      <c r="C25" s="55"/>
      <c r="D25" s="55"/>
      <c r="E25" s="55"/>
      <c r="F25" s="55"/>
      <c r="G25" s="55"/>
      <c r="H25" s="55"/>
      <c r="I25" s="55"/>
      <c r="J25" s="55"/>
    </row>
    <row r="26" spans="2:14" x14ac:dyDescent="0.35">
      <c r="B26" s="54" t="s">
        <v>108</v>
      </c>
      <c r="C26" s="55"/>
      <c r="D26" s="55"/>
      <c r="E26" s="55"/>
      <c r="F26" s="55"/>
      <c r="G26" s="55"/>
      <c r="H26" s="55"/>
      <c r="I26" s="55"/>
      <c r="J26" s="55"/>
    </row>
    <row r="27" spans="2:14" x14ac:dyDescent="0.35">
      <c r="B27" s="54" t="s">
        <v>92</v>
      </c>
      <c r="C27" s="55"/>
      <c r="D27" s="55"/>
      <c r="E27" s="55"/>
      <c r="F27" s="55"/>
      <c r="G27" s="55"/>
      <c r="H27" s="55"/>
      <c r="I27" s="55"/>
      <c r="J27" s="55"/>
    </row>
    <row r="28" spans="2:14" x14ac:dyDescent="0.35">
      <c r="B28" s="54" t="s">
        <v>93</v>
      </c>
      <c r="C28" s="55"/>
      <c r="D28" s="55"/>
      <c r="E28" s="55"/>
      <c r="F28" s="55"/>
      <c r="G28" s="55"/>
      <c r="H28" s="55"/>
      <c r="I28" s="55"/>
      <c r="J28" s="55"/>
    </row>
    <row r="29" spans="2:14" x14ac:dyDescent="0.35">
      <c r="B29" s="54" t="s">
        <v>94</v>
      </c>
      <c r="C29" s="55"/>
      <c r="D29" s="55"/>
      <c r="E29" s="55"/>
      <c r="F29" s="55"/>
      <c r="G29" s="55"/>
      <c r="H29" s="55"/>
      <c r="I29" s="55"/>
      <c r="J29" s="55"/>
    </row>
  </sheetData>
  <mergeCells count="2">
    <mergeCell ref="D12:G12"/>
    <mergeCell ref="C17:J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E6BF2-68BD-4932-88D4-E1E7029EEB9B}">
  <dimension ref="B1:K29"/>
  <sheetViews>
    <sheetView showGridLines="0" zoomScaleNormal="100" workbookViewId="0">
      <selection activeCell="F31" sqref="F31"/>
    </sheetView>
  </sheetViews>
  <sheetFormatPr defaultColWidth="9.1796875" defaultRowHeight="14.5" x14ac:dyDescent="0.35"/>
  <cols>
    <col min="1" max="1" width="3.26953125" style="21" customWidth="1"/>
    <col min="2" max="2" width="9.1796875" style="21"/>
    <col min="3" max="3" width="28.453125" style="21" customWidth="1"/>
    <col min="4" max="5" width="16.81640625" style="21" customWidth="1"/>
    <col min="6" max="6" width="67.453125" style="21" customWidth="1"/>
    <col min="7" max="7" width="11.453125" style="21" bestFit="1" customWidth="1"/>
    <col min="8" max="8" width="15.7265625" style="21" customWidth="1"/>
    <col min="9" max="9" width="14.453125" style="21" bestFit="1" customWidth="1"/>
    <col min="10" max="10" width="20.1796875" style="21" customWidth="1"/>
    <col min="11" max="11" width="37.26953125" style="21" hidden="1" customWidth="1"/>
    <col min="12" max="16384" width="9.1796875" style="21"/>
  </cols>
  <sheetData>
    <row r="1" spans="2:11" ht="15" thickBot="1" x14ac:dyDescent="0.4">
      <c r="F1" s="21" t="s">
        <v>119</v>
      </c>
    </row>
    <row r="2" spans="2:11" ht="15" thickBot="1" x14ac:dyDescent="0.4">
      <c r="C2" s="38" t="s">
        <v>19</v>
      </c>
      <c r="D2" s="134">
        <v>2.35</v>
      </c>
      <c r="E2"/>
      <c r="F2" s="78" t="s">
        <v>184</v>
      </c>
      <c r="G2" s="137"/>
    </row>
    <row r="3" spans="2:11" ht="15" thickBot="1" x14ac:dyDescent="0.4"/>
    <row r="4" spans="2:11" ht="43.5" x14ac:dyDescent="0.35">
      <c r="B4" s="26" t="s">
        <v>0</v>
      </c>
      <c r="C4" s="22" t="s">
        <v>16</v>
      </c>
      <c r="D4" s="22" t="s">
        <v>18</v>
      </c>
      <c r="E4" s="22" t="s">
        <v>32</v>
      </c>
      <c r="F4" s="22" t="s">
        <v>29</v>
      </c>
      <c r="G4" s="22" t="s">
        <v>17</v>
      </c>
      <c r="H4" s="22" t="s">
        <v>112</v>
      </c>
      <c r="I4" s="22" t="s">
        <v>20</v>
      </c>
      <c r="J4" s="27" t="s">
        <v>109</v>
      </c>
      <c r="K4" s="21" t="s">
        <v>30</v>
      </c>
    </row>
    <row r="5" spans="2:11" ht="15" customHeight="1" x14ac:dyDescent="0.35">
      <c r="B5" s="145">
        <v>1</v>
      </c>
      <c r="C5" s="146" t="s">
        <v>14</v>
      </c>
      <c r="D5" s="147">
        <f>'Estimativa Demanda'!N3</f>
        <v>14</v>
      </c>
      <c r="E5" s="124" t="s">
        <v>33</v>
      </c>
      <c r="F5" s="125" t="s">
        <v>31</v>
      </c>
      <c r="G5" s="124">
        <v>1</v>
      </c>
      <c r="H5" s="123">
        <v>9632.9599999999991</v>
      </c>
      <c r="I5" s="28">
        <f>G5*H5</f>
        <v>9632.9599999999991</v>
      </c>
      <c r="J5" s="29">
        <f>I5*D$2</f>
        <v>22637.455999999998</v>
      </c>
      <c r="K5" s="43" t="s">
        <v>23</v>
      </c>
    </row>
    <row r="6" spans="2:11" ht="15" customHeight="1" x14ac:dyDescent="0.35">
      <c r="B6" s="145"/>
      <c r="C6" s="146"/>
      <c r="D6" s="148"/>
      <c r="E6" s="124" t="s">
        <v>53</v>
      </c>
      <c r="F6" s="125" t="s">
        <v>42</v>
      </c>
      <c r="G6" s="124">
        <v>4</v>
      </c>
      <c r="H6" s="123">
        <v>2635.52</v>
      </c>
      <c r="I6" s="28">
        <f t="shared" ref="I6:I9" si="0">G6*H6</f>
        <v>10542.08</v>
      </c>
      <c r="J6" s="29">
        <f>I6*D$2</f>
        <v>24773.887999999999</v>
      </c>
      <c r="K6" s="43"/>
    </row>
    <row r="7" spans="2:11" ht="15" customHeight="1" x14ac:dyDescent="0.35">
      <c r="B7" s="145"/>
      <c r="C7" s="146"/>
      <c r="D7" s="148"/>
      <c r="E7" s="124" t="s">
        <v>34</v>
      </c>
      <c r="F7" s="125" t="s">
        <v>51</v>
      </c>
      <c r="G7" s="124">
        <v>3</v>
      </c>
      <c r="H7" s="123">
        <v>2670.74</v>
      </c>
      <c r="I7" s="28">
        <f t="shared" si="0"/>
        <v>8012.2199999999993</v>
      </c>
      <c r="J7" s="29">
        <f>I7*D$2</f>
        <v>18828.717000000001</v>
      </c>
      <c r="K7" s="43" t="s">
        <v>52</v>
      </c>
    </row>
    <row r="8" spans="2:11" ht="15" customHeight="1" x14ac:dyDescent="0.35">
      <c r="B8" s="145"/>
      <c r="C8" s="146"/>
      <c r="D8" s="148"/>
      <c r="E8" s="124" t="s">
        <v>35</v>
      </c>
      <c r="F8" s="125" t="s">
        <v>40</v>
      </c>
      <c r="G8" s="124">
        <v>4</v>
      </c>
      <c r="H8" s="123">
        <v>6590.9</v>
      </c>
      <c r="I8" s="28">
        <f t="shared" si="0"/>
        <v>26363.599999999999</v>
      </c>
      <c r="J8" s="29">
        <f>I8*D$2</f>
        <v>61954.46</v>
      </c>
      <c r="K8" s="43" t="s">
        <v>50</v>
      </c>
    </row>
    <row r="9" spans="2:11" ht="15" customHeight="1" x14ac:dyDescent="0.35">
      <c r="B9" s="145"/>
      <c r="C9" s="146"/>
      <c r="D9" s="148"/>
      <c r="E9" s="124" t="s">
        <v>35</v>
      </c>
      <c r="F9" s="125" t="s">
        <v>41</v>
      </c>
      <c r="G9" s="124">
        <v>2</v>
      </c>
      <c r="H9" s="123">
        <v>4475.3999999999996</v>
      </c>
      <c r="I9" s="28">
        <f t="shared" si="0"/>
        <v>8950.7999999999993</v>
      </c>
      <c r="J9" s="29">
        <f>I9*D$2</f>
        <v>21034.379999999997</v>
      </c>
      <c r="K9" s="43" t="s">
        <v>50</v>
      </c>
    </row>
    <row r="10" spans="2:11" ht="15" customHeight="1" x14ac:dyDescent="0.35">
      <c r="B10" s="31"/>
      <c r="C10" s="32"/>
      <c r="D10" s="33"/>
      <c r="E10" s="33"/>
      <c r="F10" s="32"/>
      <c r="G10" s="74"/>
      <c r="H10" s="74"/>
      <c r="I10" s="57" t="s">
        <v>26</v>
      </c>
      <c r="J10" s="34">
        <f>SUM(J5:J9)</f>
        <v>149228.90100000001</v>
      </c>
    </row>
    <row r="11" spans="2:11" ht="28.5" customHeight="1" x14ac:dyDescent="0.35">
      <c r="B11" s="61">
        <v>2</v>
      </c>
      <c r="C11" s="60" t="s">
        <v>13</v>
      </c>
      <c r="D11" s="71">
        <f>'Estimativa Demanda'!N4</f>
        <v>1</v>
      </c>
      <c r="E11" s="126" t="s">
        <v>37</v>
      </c>
      <c r="F11" s="127" t="s">
        <v>36</v>
      </c>
      <c r="G11" s="126">
        <v>1</v>
      </c>
      <c r="H11" s="128">
        <v>16582.2</v>
      </c>
      <c r="I11" s="23">
        <f>G11*H11</f>
        <v>16582.2</v>
      </c>
      <c r="J11" s="24">
        <f>I11*D$2</f>
        <v>38968.170000000006</v>
      </c>
    </row>
    <row r="12" spans="2:11" ht="15" customHeight="1" x14ac:dyDescent="0.35">
      <c r="B12" s="31"/>
      <c r="C12" s="32"/>
      <c r="D12" s="33"/>
      <c r="E12" s="33"/>
      <c r="F12" s="32"/>
      <c r="G12" s="74"/>
      <c r="H12" s="74"/>
      <c r="I12" s="57" t="s">
        <v>26</v>
      </c>
      <c r="J12" s="34">
        <f>SUM(J11:J11)</f>
        <v>38968.170000000006</v>
      </c>
    </row>
    <row r="13" spans="2:11" ht="15" customHeight="1" x14ac:dyDescent="0.35">
      <c r="B13" s="64">
        <v>3</v>
      </c>
      <c r="C13" s="65" t="s">
        <v>1</v>
      </c>
      <c r="D13" s="77">
        <f>'Estimativa Demanda'!N5</f>
        <v>2</v>
      </c>
      <c r="E13" s="124" t="s">
        <v>47</v>
      </c>
      <c r="F13" s="125" t="s">
        <v>38</v>
      </c>
      <c r="G13" s="124">
        <v>2</v>
      </c>
      <c r="H13" s="123">
        <v>9929.1</v>
      </c>
      <c r="I13" s="28">
        <f>G13*H13</f>
        <v>19858.2</v>
      </c>
      <c r="J13" s="29">
        <f>I13*D$2</f>
        <v>46666.770000000004</v>
      </c>
    </row>
    <row r="14" spans="2:11" ht="15" customHeight="1" x14ac:dyDescent="0.35">
      <c r="B14" s="31"/>
      <c r="C14" s="32"/>
      <c r="D14" s="33"/>
      <c r="E14" s="33"/>
      <c r="F14" s="32"/>
      <c r="G14" s="74"/>
      <c r="H14" s="74"/>
      <c r="I14" s="57" t="s">
        <v>26</v>
      </c>
      <c r="J14" s="34">
        <f>SUM(J13:J13)</f>
        <v>46666.770000000004</v>
      </c>
    </row>
    <row r="15" spans="2:11" ht="29.5" customHeight="1" x14ac:dyDescent="0.35">
      <c r="B15" s="62">
        <v>4</v>
      </c>
      <c r="C15" s="92" t="s">
        <v>15</v>
      </c>
      <c r="D15" s="72">
        <v>2</v>
      </c>
      <c r="E15" s="126" t="s">
        <v>58</v>
      </c>
      <c r="F15" s="127" t="s">
        <v>57</v>
      </c>
      <c r="G15" s="126">
        <v>2</v>
      </c>
      <c r="H15" s="128">
        <v>8341.0499999999993</v>
      </c>
      <c r="I15" s="23">
        <f>G15*H15</f>
        <v>16682.099999999999</v>
      </c>
      <c r="J15" s="24">
        <f>I15*D$2</f>
        <v>39202.934999999998</v>
      </c>
    </row>
    <row r="16" spans="2:11" ht="15" customHeight="1" x14ac:dyDescent="0.35">
      <c r="B16" s="31"/>
      <c r="C16" s="32"/>
      <c r="D16" s="33"/>
      <c r="E16" s="33"/>
      <c r="F16" s="32"/>
      <c r="G16" s="74"/>
      <c r="H16" s="74"/>
      <c r="I16" s="57" t="s">
        <v>26</v>
      </c>
      <c r="J16" s="34">
        <f>SUM(J15:J15)</f>
        <v>39202.934999999998</v>
      </c>
    </row>
    <row r="17" spans="2:11" ht="15" customHeight="1" x14ac:dyDescent="0.35">
      <c r="B17" s="58">
        <v>5</v>
      </c>
      <c r="C17" s="59" t="s">
        <v>2</v>
      </c>
      <c r="D17" s="77">
        <f>'Estimativa Demanda'!N7</f>
        <v>2</v>
      </c>
      <c r="E17" s="124" t="s">
        <v>35</v>
      </c>
      <c r="F17" s="125" t="s">
        <v>40</v>
      </c>
      <c r="G17" s="124">
        <v>2</v>
      </c>
      <c r="H17" s="123">
        <v>6590.9</v>
      </c>
      <c r="I17" s="28">
        <f>G17*H17</f>
        <v>13181.8</v>
      </c>
      <c r="J17" s="29">
        <f>I17*D$2</f>
        <v>30977.23</v>
      </c>
    </row>
    <row r="18" spans="2:11" ht="15" customHeight="1" x14ac:dyDescent="0.35">
      <c r="B18" s="31"/>
      <c r="C18" s="32"/>
      <c r="D18" s="33"/>
      <c r="E18" s="33"/>
      <c r="F18" s="32"/>
      <c r="G18" s="74"/>
      <c r="H18" s="74"/>
      <c r="I18" s="57" t="s">
        <v>26</v>
      </c>
      <c r="J18" s="34">
        <f>SUM(J17:J17)</f>
        <v>30977.23</v>
      </c>
    </row>
    <row r="19" spans="2:11" ht="15" customHeight="1" x14ac:dyDescent="0.35">
      <c r="B19" s="62">
        <v>6</v>
      </c>
      <c r="C19" s="63" t="s">
        <v>3</v>
      </c>
      <c r="D19" s="72">
        <f>'Estimativa Demanda'!N8</f>
        <v>2</v>
      </c>
      <c r="E19" s="135" t="s">
        <v>35</v>
      </c>
      <c r="F19" s="127" t="s">
        <v>40</v>
      </c>
      <c r="G19" s="126">
        <v>2</v>
      </c>
      <c r="H19" s="128">
        <v>6590.9</v>
      </c>
      <c r="I19" s="23">
        <f>G19*H19</f>
        <v>13181.8</v>
      </c>
      <c r="J19" s="24">
        <f>I19*D$2</f>
        <v>30977.23</v>
      </c>
    </row>
    <row r="20" spans="2:11" ht="15" customHeight="1" x14ac:dyDescent="0.35">
      <c r="B20" s="31"/>
      <c r="C20" s="32"/>
      <c r="D20" s="33"/>
      <c r="E20" s="33"/>
      <c r="F20" s="32"/>
      <c r="G20" s="74"/>
      <c r="H20" s="74"/>
      <c r="I20" s="57" t="s">
        <v>26</v>
      </c>
      <c r="J20" s="34">
        <f>SUM(J19:J19)</f>
        <v>30977.23</v>
      </c>
    </row>
    <row r="21" spans="2:11" ht="15" customHeight="1" x14ac:dyDescent="0.35">
      <c r="B21" s="64">
        <v>7</v>
      </c>
      <c r="C21" s="65" t="s">
        <v>4</v>
      </c>
      <c r="D21" s="77">
        <f>'Estimativa Demanda'!N9</f>
        <v>2</v>
      </c>
      <c r="E21" s="124" t="s">
        <v>49</v>
      </c>
      <c r="F21" s="125" t="s">
        <v>45</v>
      </c>
      <c r="G21" s="124">
        <v>2</v>
      </c>
      <c r="H21" s="123">
        <v>7105.84</v>
      </c>
      <c r="I21" s="28">
        <f>G21*H21</f>
        <v>14211.68</v>
      </c>
      <c r="J21" s="29">
        <f>I21*D$2</f>
        <v>33397.448000000004</v>
      </c>
    </row>
    <row r="22" spans="2:11" ht="15" customHeight="1" x14ac:dyDescent="0.35">
      <c r="B22" s="31"/>
      <c r="C22" s="32"/>
      <c r="D22" s="33"/>
      <c r="E22" s="33"/>
      <c r="F22" s="32"/>
      <c r="G22" s="74"/>
      <c r="H22" s="74"/>
      <c r="I22" s="57" t="s">
        <v>26</v>
      </c>
      <c r="J22" s="34">
        <f>SUM(J21:J21)</f>
        <v>33397.448000000004</v>
      </c>
    </row>
    <row r="23" spans="2:11" ht="15" customHeight="1" x14ac:dyDescent="0.35">
      <c r="B23" s="145">
        <v>8</v>
      </c>
      <c r="C23" s="146" t="s">
        <v>21</v>
      </c>
      <c r="D23" s="147">
        <f>'Estimativa Demanda'!N10</f>
        <v>2</v>
      </c>
      <c r="E23" s="124" t="s">
        <v>54</v>
      </c>
      <c r="F23" s="125" t="s">
        <v>22</v>
      </c>
      <c r="G23" s="124">
        <v>1</v>
      </c>
      <c r="H23" s="123">
        <v>18369.88</v>
      </c>
      <c r="I23" s="28">
        <f>G23*H23</f>
        <v>18369.88</v>
      </c>
      <c r="J23" s="29">
        <f>I23*D$2</f>
        <v>43169.218000000001</v>
      </c>
      <c r="K23" s="144" t="s">
        <v>59</v>
      </c>
    </row>
    <row r="24" spans="2:11" ht="15" customHeight="1" x14ac:dyDescent="0.35">
      <c r="B24" s="145"/>
      <c r="C24" s="146"/>
      <c r="D24" s="148"/>
      <c r="E24" s="124" t="s">
        <v>55</v>
      </c>
      <c r="F24" s="125" t="s">
        <v>111</v>
      </c>
      <c r="G24" s="124">
        <v>1</v>
      </c>
      <c r="H24" s="123">
        <v>11581.68</v>
      </c>
      <c r="I24" s="28">
        <f>G24*H24</f>
        <v>11581.68</v>
      </c>
      <c r="J24" s="29">
        <f>I24*D$2</f>
        <v>27216.948</v>
      </c>
      <c r="K24" s="144"/>
    </row>
    <row r="25" spans="2:11" ht="15" customHeight="1" x14ac:dyDescent="0.35">
      <c r="B25" s="31"/>
      <c r="C25" s="32"/>
      <c r="D25" s="33"/>
      <c r="E25" s="33"/>
      <c r="F25" s="32"/>
      <c r="G25" s="74"/>
      <c r="H25" s="74"/>
      <c r="I25" s="57" t="s">
        <v>26</v>
      </c>
      <c r="J25" s="34">
        <f>SUM(J23:K24)</f>
        <v>70386.165999999997</v>
      </c>
    </row>
    <row r="26" spans="2:11" ht="15" customHeight="1" x14ac:dyDescent="0.35">
      <c r="B26" s="44">
        <v>9</v>
      </c>
      <c r="C26" s="45" t="s">
        <v>5</v>
      </c>
      <c r="D26" s="71">
        <f>'Estimativa Demanda'!N11</f>
        <v>2</v>
      </c>
      <c r="E26" s="126" t="s">
        <v>48</v>
      </c>
      <c r="F26" s="127" t="s">
        <v>44</v>
      </c>
      <c r="G26" s="136">
        <f>D26</f>
        <v>2</v>
      </c>
      <c r="H26" s="128">
        <v>8141.81</v>
      </c>
      <c r="I26" s="23">
        <f>G26*H26</f>
        <v>16283.62</v>
      </c>
      <c r="J26" s="24">
        <f>I26*D$2</f>
        <v>38266.507000000005</v>
      </c>
    </row>
    <row r="27" spans="2:11" ht="15" thickBot="1" x14ac:dyDescent="0.4">
      <c r="B27" s="35"/>
      <c r="C27" s="36"/>
      <c r="D27" s="37"/>
      <c r="E27" s="37"/>
      <c r="F27" s="36"/>
      <c r="G27" s="75"/>
      <c r="H27" s="75"/>
      <c r="I27" s="57" t="s">
        <v>26</v>
      </c>
      <c r="J27" s="138">
        <f>SUM(J26)</f>
        <v>38266.507000000005</v>
      </c>
    </row>
    <row r="28" spans="2:11" x14ac:dyDescent="0.35">
      <c r="I28" s="44" t="s">
        <v>24</v>
      </c>
      <c r="J28" s="24">
        <f>SUM(J27,J25,J20,J18,J16,J14,J12,J10,J22)</f>
        <v>478071.35700000008</v>
      </c>
    </row>
    <row r="29" spans="2:11" ht="15" thickBot="1" x14ac:dyDescent="0.4">
      <c r="D29" s="73">
        <f>SUM(D5:D28)</f>
        <v>29</v>
      </c>
      <c r="G29" s="76">
        <f>SUM(G5:G28)</f>
        <v>29</v>
      </c>
      <c r="I29" s="30" t="s">
        <v>25</v>
      </c>
      <c r="J29" s="25">
        <f>J28*12</f>
        <v>5736856.2840000009</v>
      </c>
      <c r="K29" s="42"/>
    </row>
  </sheetData>
  <mergeCells count="7">
    <mergeCell ref="K23:K24"/>
    <mergeCell ref="B5:B9"/>
    <mergeCell ref="C5:C9"/>
    <mergeCell ref="D5:D9"/>
    <mergeCell ref="B23:B24"/>
    <mergeCell ref="C23:C24"/>
    <mergeCell ref="D23:D24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J12 J14 J16 J18 J20 J22 J2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2A124-0EE3-46BE-804E-BD7D74C62DC5}">
  <dimension ref="A1:K36"/>
  <sheetViews>
    <sheetView topLeftCell="A4" workbookViewId="0">
      <selection activeCell="F36" sqref="F36"/>
    </sheetView>
  </sheetViews>
  <sheetFormatPr defaultRowHeight="14.5" x14ac:dyDescent="0.35"/>
  <cols>
    <col min="1" max="1" width="26.54296875" bestFit="1" customWidth="1"/>
    <col min="2" max="2" width="13.81640625" bestFit="1" customWidth="1"/>
    <col min="3" max="3" width="54.54296875" bestFit="1" customWidth="1"/>
    <col min="4" max="4" width="23.54296875" customWidth="1"/>
    <col min="5" max="5" width="22.453125" bestFit="1" customWidth="1"/>
    <col min="6" max="6" width="27.453125" bestFit="1" customWidth="1"/>
    <col min="7" max="7" width="11.453125" customWidth="1"/>
    <col min="10" max="10" width="16.54296875" bestFit="1" customWidth="1"/>
  </cols>
  <sheetData>
    <row r="1" spans="1:11" x14ac:dyDescent="0.35">
      <c r="H1" s="152" t="s">
        <v>183</v>
      </c>
      <c r="I1" s="152"/>
      <c r="J1" s="152"/>
      <c r="K1" s="152"/>
    </row>
    <row r="2" spans="1:11" ht="59.15" customHeight="1" x14ac:dyDescent="0.35">
      <c r="A2" s="48" t="s">
        <v>32</v>
      </c>
      <c r="B2" s="94" t="s">
        <v>145</v>
      </c>
      <c r="C2" s="95" t="s">
        <v>60</v>
      </c>
      <c r="D2" s="122" t="s">
        <v>180</v>
      </c>
      <c r="E2" s="93" t="s">
        <v>146</v>
      </c>
      <c r="F2" s="94" t="s">
        <v>147</v>
      </c>
      <c r="G2" s="94" t="s">
        <v>148</v>
      </c>
      <c r="H2" s="94" t="s">
        <v>149</v>
      </c>
      <c r="I2" s="94" t="s">
        <v>150</v>
      </c>
      <c r="J2" s="96" t="s">
        <v>151</v>
      </c>
      <c r="K2" s="96" t="s">
        <v>152</v>
      </c>
    </row>
    <row r="3" spans="1:11" x14ac:dyDescent="0.35">
      <c r="A3" s="49" t="s">
        <v>53</v>
      </c>
      <c r="B3" s="97" t="s">
        <v>113</v>
      </c>
      <c r="C3" s="98" t="s">
        <v>61</v>
      </c>
      <c r="D3" s="99">
        <v>1327.64</v>
      </c>
      <c r="E3" s="129">
        <v>1347.1828571428573</v>
      </c>
      <c r="F3" s="100">
        <v>1.4719997245380676E-2</v>
      </c>
      <c r="G3" s="100">
        <v>6.3144647664345271E-2</v>
      </c>
      <c r="H3" s="153">
        <v>29125</v>
      </c>
      <c r="I3" s="101">
        <f>103+222</f>
        <v>325</v>
      </c>
      <c r="J3" s="102">
        <v>4</v>
      </c>
      <c r="K3" s="102">
        <v>1</v>
      </c>
    </row>
    <row r="4" spans="1:11" x14ac:dyDescent="0.35">
      <c r="A4" s="50" t="s">
        <v>53</v>
      </c>
      <c r="B4" s="103" t="s">
        <v>153</v>
      </c>
      <c r="C4" s="104" t="s">
        <v>62</v>
      </c>
      <c r="D4" s="105">
        <v>1601.68</v>
      </c>
      <c r="E4" s="130">
        <v>1798.4779999999998</v>
      </c>
      <c r="F4" s="106">
        <v>0.12286973677638464</v>
      </c>
      <c r="G4" s="106">
        <v>7.5921461015305947E-2</v>
      </c>
      <c r="H4" s="150"/>
      <c r="I4" s="101">
        <f>117+173</f>
        <v>290</v>
      </c>
      <c r="J4" s="101">
        <v>7</v>
      </c>
      <c r="K4" s="101">
        <v>1</v>
      </c>
    </row>
    <row r="5" spans="1:11" x14ac:dyDescent="0.35">
      <c r="A5" s="49" t="s">
        <v>53</v>
      </c>
      <c r="B5" s="103" t="s">
        <v>114</v>
      </c>
      <c r="C5" s="104" t="s">
        <v>63</v>
      </c>
      <c r="D5" s="105">
        <v>2434.6799999999998</v>
      </c>
      <c r="E5" s="130">
        <v>2635.5225</v>
      </c>
      <c r="F5" s="106">
        <v>8.2492360392330905E-2</v>
      </c>
      <c r="G5" s="106">
        <v>0.1179414672262324</v>
      </c>
      <c r="H5" s="150"/>
      <c r="I5" s="101">
        <f>220+395</f>
        <v>615</v>
      </c>
      <c r="J5" s="101">
        <v>4</v>
      </c>
      <c r="K5" s="101">
        <v>1</v>
      </c>
    </row>
    <row r="6" spans="1:11" x14ac:dyDescent="0.35">
      <c r="A6" s="50" t="s">
        <v>34</v>
      </c>
      <c r="B6" s="107" t="s">
        <v>115</v>
      </c>
      <c r="C6" s="108" t="s">
        <v>64</v>
      </c>
      <c r="D6" s="109">
        <v>1352.79</v>
      </c>
      <c r="E6" s="131">
        <v>1572.22</v>
      </c>
      <c r="F6" s="110">
        <v>0.16220551600765828</v>
      </c>
      <c r="G6" s="110">
        <v>0.29355225376987565</v>
      </c>
      <c r="H6" s="151">
        <v>17915</v>
      </c>
      <c r="I6" s="111"/>
      <c r="J6" s="111">
        <v>0</v>
      </c>
      <c r="K6" s="111">
        <v>1</v>
      </c>
    </row>
    <row r="7" spans="1:11" x14ac:dyDescent="0.35">
      <c r="A7" s="49" t="s">
        <v>34</v>
      </c>
      <c r="B7" s="107" t="s">
        <v>116</v>
      </c>
      <c r="C7" s="108" t="s">
        <v>65</v>
      </c>
      <c r="D7" s="109">
        <v>1507.06</v>
      </c>
      <c r="E7" s="131">
        <v>1854.0199999999998</v>
      </c>
      <c r="F7" s="110">
        <v>0.23022308335434544</v>
      </c>
      <c r="G7" s="110">
        <v>0.269324838329701</v>
      </c>
      <c r="H7" s="150"/>
      <c r="I7" s="111"/>
      <c r="J7" s="111">
        <v>0</v>
      </c>
      <c r="K7" s="111">
        <v>1</v>
      </c>
    </row>
    <row r="8" spans="1:11" x14ac:dyDescent="0.35">
      <c r="A8" s="50" t="s">
        <v>34</v>
      </c>
      <c r="B8" s="107" t="s">
        <v>117</v>
      </c>
      <c r="C8" s="108" t="s">
        <v>51</v>
      </c>
      <c r="D8" s="109">
        <v>2151.88</v>
      </c>
      <c r="E8" s="131">
        <v>2670.7357142857145</v>
      </c>
      <c r="F8" s="110">
        <v>0.24111740166074055</v>
      </c>
      <c r="G8" s="110">
        <v>0.23899439654564281</v>
      </c>
      <c r="H8" s="150"/>
      <c r="I8" s="111"/>
      <c r="J8" s="111">
        <v>4</v>
      </c>
      <c r="K8" s="111">
        <v>1</v>
      </c>
    </row>
    <row r="9" spans="1:11" x14ac:dyDescent="0.35">
      <c r="A9" s="49" t="s">
        <v>33</v>
      </c>
      <c r="B9" s="103" t="s">
        <v>118</v>
      </c>
      <c r="C9" s="104" t="s">
        <v>31</v>
      </c>
      <c r="D9" s="105">
        <v>8018</v>
      </c>
      <c r="E9" s="130">
        <v>9632.9549999999999</v>
      </c>
      <c r="F9" s="106">
        <v>0.20141618857570465</v>
      </c>
      <c r="G9" s="106">
        <v>0.22965570940647778</v>
      </c>
      <c r="H9" s="101">
        <v>1601</v>
      </c>
      <c r="I9" s="101"/>
      <c r="J9" s="101">
        <v>2</v>
      </c>
      <c r="K9" s="101">
        <v>1</v>
      </c>
    </row>
    <row r="10" spans="1:11" x14ac:dyDescent="0.35">
      <c r="A10" s="51" t="s">
        <v>35</v>
      </c>
      <c r="B10" s="107" t="s">
        <v>154</v>
      </c>
      <c r="C10" s="108" t="s">
        <v>66</v>
      </c>
      <c r="D10" s="109">
        <v>2012.34</v>
      </c>
      <c r="E10" s="131">
        <v>2845.0955555555556</v>
      </c>
      <c r="F10" s="110">
        <v>0.4138244807316635</v>
      </c>
      <c r="G10" s="110">
        <v>0.31806415652333125</v>
      </c>
      <c r="H10" s="151">
        <v>36798</v>
      </c>
      <c r="I10" s="111"/>
      <c r="J10" s="111">
        <v>4</v>
      </c>
      <c r="K10" s="111">
        <v>4</v>
      </c>
    </row>
    <row r="11" spans="1:11" x14ac:dyDescent="0.35">
      <c r="A11" s="49" t="s">
        <v>35</v>
      </c>
      <c r="B11" s="107" t="s">
        <v>155</v>
      </c>
      <c r="C11" s="108" t="s">
        <v>67</v>
      </c>
      <c r="D11" s="109">
        <v>2794.54</v>
      </c>
      <c r="E11" s="131">
        <v>4475.4015384615395</v>
      </c>
      <c r="F11" s="110">
        <v>0.60148057943759603</v>
      </c>
      <c r="G11" s="110">
        <v>0.29062537838231406</v>
      </c>
      <c r="H11" s="150"/>
      <c r="I11" s="111"/>
      <c r="J11" s="111">
        <v>8</v>
      </c>
      <c r="K11" s="111">
        <v>4</v>
      </c>
    </row>
    <row r="12" spans="1:11" x14ac:dyDescent="0.35">
      <c r="A12" s="50" t="s">
        <v>35</v>
      </c>
      <c r="B12" s="107" t="s">
        <v>156</v>
      </c>
      <c r="C12" s="108" t="s">
        <v>68</v>
      </c>
      <c r="D12" s="109">
        <v>5916.57</v>
      </c>
      <c r="E12" s="131">
        <v>6590.9003030303029</v>
      </c>
      <c r="F12" s="110">
        <v>0.11397318091906344</v>
      </c>
      <c r="G12" s="110">
        <v>0.27687408118437418</v>
      </c>
      <c r="H12" s="150"/>
      <c r="I12" s="111"/>
      <c r="J12" s="111">
        <v>5</v>
      </c>
      <c r="K12" s="111">
        <v>5</v>
      </c>
    </row>
    <row r="13" spans="1:11" x14ac:dyDescent="0.35">
      <c r="A13" s="52" t="s">
        <v>37</v>
      </c>
      <c r="B13" s="103" t="s">
        <v>157</v>
      </c>
      <c r="C13" s="104" t="s">
        <v>36</v>
      </c>
      <c r="D13" s="105">
        <v>8174.1</v>
      </c>
      <c r="E13" s="130">
        <v>16582.2016666667</v>
      </c>
      <c r="F13" s="106">
        <v>1.0286272087039099</v>
      </c>
      <c r="G13" s="106">
        <v>0.215796008895351</v>
      </c>
      <c r="H13" s="101">
        <f>1150+1214</f>
        <v>2364</v>
      </c>
      <c r="I13" s="101"/>
      <c r="J13" s="101">
        <v>1</v>
      </c>
      <c r="K13" s="101">
        <v>5</v>
      </c>
    </row>
    <row r="14" spans="1:11" x14ac:dyDescent="0.35">
      <c r="A14" s="50" t="s">
        <v>47</v>
      </c>
      <c r="B14" s="107" t="s">
        <v>158</v>
      </c>
      <c r="C14" s="108" t="s">
        <v>69</v>
      </c>
      <c r="D14" s="109">
        <v>3348.94</v>
      </c>
      <c r="E14" s="131">
        <v>4430.1133333333337</v>
      </c>
      <c r="F14" s="110">
        <v>0.32284046096177704</v>
      </c>
      <c r="G14" s="110">
        <v>0.16151633264585422</v>
      </c>
      <c r="H14" s="151">
        <v>2862</v>
      </c>
      <c r="I14" s="111">
        <v>2</v>
      </c>
      <c r="J14" s="111">
        <v>2</v>
      </c>
      <c r="K14" s="111">
        <v>2</v>
      </c>
    </row>
    <row r="15" spans="1:11" x14ac:dyDescent="0.35">
      <c r="A15" s="49" t="s">
        <v>47</v>
      </c>
      <c r="B15" s="107" t="s">
        <v>159</v>
      </c>
      <c r="C15" s="108" t="s">
        <v>39</v>
      </c>
      <c r="D15" s="109">
        <v>6091.28</v>
      </c>
      <c r="E15" s="131">
        <v>6506.0140000000001</v>
      </c>
      <c r="F15" s="110">
        <v>6.8086510552790289E-2</v>
      </c>
      <c r="G15" s="110">
        <v>5.2546628587331855E-2</v>
      </c>
      <c r="H15" s="150"/>
      <c r="I15" s="111">
        <v>7</v>
      </c>
      <c r="J15" s="111">
        <v>3</v>
      </c>
      <c r="K15" s="111">
        <v>2</v>
      </c>
    </row>
    <row r="16" spans="1:11" x14ac:dyDescent="0.35">
      <c r="A16" s="50" t="s">
        <v>47</v>
      </c>
      <c r="B16" s="107" t="s">
        <v>160</v>
      </c>
      <c r="C16" s="108" t="s">
        <v>38</v>
      </c>
      <c r="D16" s="109">
        <v>8090.91</v>
      </c>
      <c r="E16" s="131">
        <v>9929.0949999999993</v>
      </c>
      <c r="F16" s="110">
        <v>0.22719137896726074</v>
      </c>
      <c r="G16" s="110">
        <v>0.26643549076558848</v>
      </c>
      <c r="H16" s="150"/>
      <c r="I16" s="111">
        <v>9</v>
      </c>
      <c r="J16" s="111">
        <v>4</v>
      </c>
      <c r="K16" s="111">
        <v>2</v>
      </c>
    </row>
    <row r="17" spans="1:11" x14ac:dyDescent="0.35">
      <c r="A17" s="52" t="s">
        <v>58</v>
      </c>
      <c r="B17" s="112" t="s">
        <v>161</v>
      </c>
      <c r="C17" s="113" t="s">
        <v>70</v>
      </c>
      <c r="D17" s="114">
        <v>2419.7800000000002</v>
      </c>
      <c r="E17" s="132">
        <v>2417.1025</v>
      </c>
      <c r="F17" s="115">
        <v>-1.1065055500914282E-3</v>
      </c>
      <c r="G17" s="115">
        <v>0.1450206217856454</v>
      </c>
      <c r="H17" s="149">
        <v>3016</v>
      </c>
      <c r="I17" s="116">
        <v>15</v>
      </c>
      <c r="J17" s="116">
        <v>1</v>
      </c>
      <c r="K17" s="116">
        <v>1</v>
      </c>
    </row>
    <row r="18" spans="1:11" x14ac:dyDescent="0.35">
      <c r="A18" s="50" t="s">
        <v>58</v>
      </c>
      <c r="B18" s="112" t="s">
        <v>162</v>
      </c>
      <c r="C18" s="113" t="s">
        <v>56</v>
      </c>
      <c r="D18" s="114">
        <v>4276.6000000000004</v>
      </c>
      <c r="E18" s="132">
        <v>4787.7562500000004</v>
      </c>
      <c r="F18" s="115">
        <v>0.11952397932937379</v>
      </c>
      <c r="G18" s="115">
        <v>0.24335003153714804</v>
      </c>
      <c r="H18" s="150"/>
      <c r="I18" s="116">
        <v>20</v>
      </c>
      <c r="J18" s="116">
        <v>4</v>
      </c>
      <c r="K18" s="116">
        <v>2</v>
      </c>
    </row>
    <row r="19" spans="1:11" x14ac:dyDescent="0.35">
      <c r="A19" s="49" t="s">
        <v>58</v>
      </c>
      <c r="B19" s="112" t="s">
        <v>163</v>
      </c>
      <c r="C19" s="113" t="s">
        <v>71</v>
      </c>
      <c r="D19" s="114">
        <v>7792.92</v>
      </c>
      <c r="E19" s="132">
        <v>8341.0542857142846</v>
      </c>
      <c r="F19" s="115">
        <v>7.0337471155136264E-2</v>
      </c>
      <c r="G19" s="115">
        <v>0.35677050025272933</v>
      </c>
      <c r="H19" s="150"/>
      <c r="I19" s="116">
        <v>35</v>
      </c>
      <c r="J19" s="116">
        <v>2</v>
      </c>
      <c r="K19" s="116">
        <v>3</v>
      </c>
    </row>
    <row r="20" spans="1:11" x14ac:dyDescent="0.35">
      <c r="A20" s="51" t="s">
        <v>49</v>
      </c>
      <c r="B20" s="107" t="s">
        <v>164</v>
      </c>
      <c r="C20" s="108" t="s">
        <v>72</v>
      </c>
      <c r="D20" s="109">
        <v>2390.2600000000002</v>
      </c>
      <c r="E20" s="131">
        <v>3400.8811111111113</v>
      </c>
      <c r="F20" s="110">
        <v>0.42280802553325203</v>
      </c>
      <c r="G20" s="110">
        <v>0.35449196986972686</v>
      </c>
      <c r="H20" s="151">
        <f>2091+13646</f>
        <v>15737</v>
      </c>
      <c r="I20" s="111">
        <f>10+2</f>
        <v>12</v>
      </c>
      <c r="J20" s="111">
        <v>2</v>
      </c>
      <c r="K20" s="111">
        <v>3</v>
      </c>
    </row>
    <row r="21" spans="1:11" x14ac:dyDescent="0.35">
      <c r="A21" s="49" t="s">
        <v>49</v>
      </c>
      <c r="B21" s="107" t="s">
        <v>165</v>
      </c>
      <c r="C21" s="108" t="s">
        <v>46</v>
      </c>
      <c r="D21" s="109">
        <v>3702.08</v>
      </c>
      <c r="E21" s="131">
        <v>4897.2884615384619</v>
      </c>
      <c r="F21" s="110">
        <v>0.32284782110015503</v>
      </c>
      <c r="G21" s="110">
        <v>0.28394055872481427</v>
      </c>
      <c r="H21" s="150"/>
      <c r="I21" s="111">
        <f>7+7</f>
        <v>14</v>
      </c>
      <c r="J21" s="111">
        <v>6</v>
      </c>
      <c r="K21" s="111">
        <v>3</v>
      </c>
    </row>
    <row r="22" spans="1:11" x14ac:dyDescent="0.35">
      <c r="A22" s="50" t="s">
        <v>49</v>
      </c>
      <c r="B22" s="107" t="s">
        <v>166</v>
      </c>
      <c r="C22" s="108" t="s">
        <v>45</v>
      </c>
      <c r="D22" s="109">
        <v>6421.6</v>
      </c>
      <c r="E22" s="131">
        <v>7105.8433333333332</v>
      </c>
      <c r="F22" s="110">
        <v>0.10655340309787792</v>
      </c>
      <c r="G22" s="110">
        <v>0.16805716617001432</v>
      </c>
      <c r="H22" s="150"/>
      <c r="I22" s="111">
        <f>17+9</f>
        <v>26</v>
      </c>
      <c r="J22" s="111">
        <v>3</v>
      </c>
      <c r="K22" s="111">
        <v>4</v>
      </c>
    </row>
    <row r="23" spans="1:11" x14ac:dyDescent="0.35">
      <c r="A23" s="49" t="s">
        <v>73</v>
      </c>
      <c r="B23" s="112" t="s">
        <v>167</v>
      </c>
      <c r="C23" s="113" t="s">
        <v>74</v>
      </c>
      <c r="D23" s="114">
        <v>1352</v>
      </c>
      <c r="E23" s="132">
        <v>1620.8400000000001</v>
      </c>
      <c r="F23" s="115">
        <v>0.19884615384615395</v>
      </c>
      <c r="G23" s="115">
        <v>0.31910052978399278</v>
      </c>
      <c r="H23" s="149">
        <f>1850</f>
        <v>1850</v>
      </c>
      <c r="I23" s="116">
        <v>339</v>
      </c>
      <c r="J23" s="116">
        <v>0</v>
      </c>
      <c r="K23" s="116">
        <v>1</v>
      </c>
    </row>
    <row r="24" spans="1:11" x14ac:dyDescent="0.35">
      <c r="A24" s="50" t="s">
        <v>73</v>
      </c>
      <c r="B24" s="112" t="s">
        <v>168</v>
      </c>
      <c r="C24" s="113" t="s">
        <v>75</v>
      </c>
      <c r="D24" s="114">
        <v>1614.84</v>
      </c>
      <c r="E24" s="132">
        <v>1972.9775</v>
      </c>
      <c r="F24" s="115">
        <v>0.22177893785142805</v>
      </c>
      <c r="G24" s="115">
        <v>0.22332180288471185</v>
      </c>
      <c r="H24" s="150"/>
      <c r="I24" s="116">
        <v>321</v>
      </c>
      <c r="J24" s="116">
        <v>1</v>
      </c>
      <c r="K24" s="116">
        <v>1</v>
      </c>
    </row>
    <row r="25" spans="1:11" x14ac:dyDescent="0.35">
      <c r="A25" s="49" t="s">
        <v>73</v>
      </c>
      <c r="B25" s="112" t="s">
        <v>169</v>
      </c>
      <c r="C25" s="113" t="s">
        <v>76</v>
      </c>
      <c r="D25" s="114">
        <v>2571.7399999999998</v>
      </c>
      <c r="E25" s="132">
        <v>2943.7033333333334</v>
      </c>
      <c r="F25" s="115">
        <v>0.1446348905151118</v>
      </c>
      <c r="G25" s="115">
        <v>4.3896949524704451E-2</v>
      </c>
      <c r="H25" s="150"/>
      <c r="I25" s="116">
        <v>660</v>
      </c>
      <c r="J25" s="116">
        <v>1</v>
      </c>
      <c r="K25" s="116">
        <v>1</v>
      </c>
    </row>
    <row r="26" spans="1:11" x14ac:dyDescent="0.35">
      <c r="A26" s="50" t="s">
        <v>77</v>
      </c>
      <c r="B26" s="107" t="s">
        <v>170</v>
      </c>
      <c r="C26" s="108" t="s">
        <v>78</v>
      </c>
      <c r="D26" s="109">
        <v>2059.58</v>
      </c>
      <c r="E26" s="131">
        <v>4313.6324999999997</v>
      </c>
      <c r="F26" s="110">
        <v>1.0944233775818371</v>
      </c>
      <c r="G26" s="110">
        <v>0.34312088727509338</v>
      </c>
      <c r="H26" s="151">
        <f>87126+39469</f>
        <v>126595</v>
      </c>
      <c r="I26" s="111">
        <f>89+10</f>
        <v>99</v>
      </c>
      <c r="J26" s="111">
        <v>0</v>
      </c>
      <c r="K26" s="111">
        <v>4</v>
      </c>
    </row>
    <row r="27" spans="1:11" x14ac:dyDescent="0.35">
      <c r="A27" s="49" t="s">
        <v>77</v>
      </c>
      <c r="B27" s="107" t="s">
        <v>171</v>
      </c>
      <c r="C27" s="108" t="s">
        <v>79</v>
      </c>
      <c r="D27" s="109">
        <v>3200</v>
      </c>
      <c r="E27" s="131">
        <v>7301.55</v>
      </c>
      <c r="F27" s="110">
        <v>1.2817343750000001</v>
      </c>
      <c r="G27" s="110">
        <v>0.33994256746073603</v>
      </c>
      <c r="H27" s="150"/>
      <c r="I27" s="111">
        <f>70+10</f>
        <v>80</v>
      </c>
      <c r="J27" s="111">
        <v>1</v>
      </c>
      <c r="K27" s="111">
        <v>5</v>
      </c>
    </row>
    <row r="28" spans="1:11" x14ac:dyDescent="0.35">
      <c r="A28" s="50" t="s">
        <v>77</v>
      </c>
      <c r="B28" s="107" t="s">
        <v>172</v>
      </c>
      <c r="C28" s="108" t="s">
        <v>80</v>
      </c>
      <c r="D28" s="109">
        <v>6500</v>
      </c>
      <c r="E28" s="131">
        <v>9545.7546666666658</v>
      </c>
      <c r="F28" s="110">
        <v>0.46857764102564087</v>
      </c>
      <c r="G28" s="110">
        <v>0.34214802261060401</v>
      </c>
      <c r="H28" s="150"/>
      <c r="I28" s="111">
        <f>159+20</f>
        <v>179</v>
      </c>
      <c r="J28" s="111">
        <v>1</v>
      </c>
      <c r="K28" s="111">
        <v>5</v>
      </c>
    </row>
    <row r="29" spans="1:11" x14ac:dyDescent="0.35">
      <c r="A29" s="52" t="s">
        <v>48</v>
      </c>
      <c r="B29" s="112" t="s">
        <v>173</v>
      </c>
      <c r="C29" s="113" t="s">
        <v>81</v>
      </c>
      <c r="D29" s="114">
        <v>2623.5</v>
      </c>
      <c r="E29" s="132">
        <v>3533.3466666666668</v>
      </c>
      <c r="F29" s="115">
        <v>0.34680642907058007</v>
      </c>
      <c r="G29" s="115">
        <v>0.40970625584209697</v>
      </c>
      <c r="H29" s="149">
        <v>3577</v>
      </c>
      <c r="I29" s="116"/>
      <c r="J29" s="116">
        <v>1</v>
      </c>
      <c r="K29" s="116">
        <v>1</v>
      </c>
    </row>
    <row r="30" spans="1:11" x14ac:dyDescent="0.35">
      <c r="A30" s="51" t="s">
        <v>48</v>
      </c>
      <c r="B30" s="112" t="s">
        <v>174</v>
      </c>
      <c r="C30" s="113" t="s">
        <v>43</v>
      </c>
      <c r="D30" s="114">
        <v>3557.08</v>
      </c>
      <c r="E30" s="132">
        <v>5036.8933333333334</v>
      </c>
      <c r="F30" s="115">
        <v>0.41601913179724198</v>
      </c>
      <c r="G30" s="115">
        <v>0.23354438864505725</v>
      </c>
      <c r="H30" s="150"/>
      <c r="I30" s="116"/>
      <c r="J30" s="116">
        <v>4</v>
      </c>
      <c r="K30" s="116">
        <v>1</v>
      </c>
    </row>
    <row r="31" spans="1:11" x14ac:dyDescent="0.35">
      <c r="A31" s="52" t="s">
        <v>48</v>
      </c>
      <c r="B31" s="112" t="s">
        <v>175</v>
      </c>
      <c r="C31" s="113" t="s">
        <v>44</v>
      </c>
      <c r="D31" s="114">
        <v>5674.89</v>
      </c>
      <c r="E31" s="132">
        <v>8141.8099999999995</v>
      </c>
      <c r="F31" s="115">
        <v>0.43470798552923473</v>
      </c>
      <c r="G31" s="115">
        <v>0.30798053068598208</v>
      </c>
      <c r="H31" s="150"/>
      <c r="I31" s="116"/>
      <c r="J31" s="116">
        <v>1</v>
      </c>
      <c r="K31" s="116">
        <v>2</v>
      </c>
    </row>
    <row r="32" spans="1:11" x14ac:dyDescent="0.35">
      <c r="A32" s="51" t="s">
        <v>55</v>
      </c>
      <c r="B32" s="107" t="s">
        <v>176</v>
      </c>
      <c r="C32" s="108" t="s">
        <v>82</v>
      </c>
      <c r="D32" s="109">
        <v>4000</v>
      </c>
      <c r="E32" s="131">
        <v>4798.1499999999996</v>
      </c>
      <c r="F32" s="110">
        <v>0.1995374999999999</v>
      </c>
      <c r="G32" s="110">
        <v>0.17656446674142912</v>
      </c>
      <c r="H32" s="151">
        <v>3325</v>
      </c>
      <c r="I32" s="111"/>
      <c r="J32" s="111">
        <v>2</v>
      </c>
      <c r="K32" s="111">
        <v>3</v>
      </c>
    </row>
    <row r="33" spans="1:11" x14ac:dyDescent="0.35">
      <c r="A33" s="52" t="s">
        <v>55</v>
      </c>
      <c r="B33" s="107" t="s">
        <v>177</v>
      </c>
      <c r="C33" s="108" t="s">
        <v>83</v>
      </c>
      <c r="D33" s="109">
        <v>5759.08</v>
      </c>
      <c r="E33" s="131">
        <v>7257.3103030303027</v>
      </c>
      <c r="F33" s="110">
        <v>0.2601509795019869</v>
      </c>
      <c r="G33" s="110">
        <v>0.25655014815827365</v>
      </c>
      <c r="H33" s="150"/>
      <c r="I33" s="111"/>
      <c r="J33" s="111">
        <v>5</v>
      </c>
      <c r="K33" s="111">
        <v>5</v>
      </c>
    </row>
    <row r="34" spans="1:11" x14ac:dyDescent="0.35">
      <c r="A34" s="51" t="s">
        <v>55</v>
      </c>
      <c r="B34" s="107" t="s">
        <v>178</v>
      </c>
      <c r="C34" s="108" t="s">
        <v>84</v>
      </c>
      <c r="D34" s="109">
        <v>8079.37</v>
      </c>
      <c r="E34" s="131">
        <v>11581.683333333332</v>
      </c>
      <c r="F34" s="110">
        <v>0.4334884196828877</v>
      </c>
      <c r="G34" s="110">
        <v>0.22485833011150583</v>
      </c>
      <c r="H34" s="150"/>
      <c r="I34" s="111"/>
      <c r="J34" s="111">
        <v>1</v>
      </c>
      <c r="K34" s="111">
        <v>6</v>
      </c>
    </row>
    <row r="35" spans="1:11" x14ac:dyDescent="0.35">
      <c r="A35" s="53" t="s">
        <v>54</v>
      </c>
      <c r="B35" s="117" t="s">
        <v>179</v>
      </c>
      <c r="C35" s="118" t="s">
        <v>85</v>
      </c>
      <c r="D35" s="119">
        <v>11126.77</v>
      </c>
      <c r="E35" s="133">
        <v>18369.878000000001</v>
      </c>
      <c r="F35" s="120">
        <v>0.65096231880410937</v>
      </c>
      <c r="G35" s="120">
        <v>0.12038745986114995</v>
      </c>
      <c r="H35" s="121">
        <v>332</v>
      </c>
      <c r="I35" s="121"/>
      <c r="J35" s="121">
        <v>0</v>
      </c>
      <c r="K35" s="121">
        <v>4</v>
      </c>
    </row>
    <row r="36" spans="1:11" ht="43.5" x14ac:dyDescent="0.35">
      <c r="D36" s="76" t="s">
        <v>182</v>
      </c>
      <c r="E36" s="76" t="s">
        <v>181</v>
      </c>
    </row>
  </sheetData>
  <mergeCells count="11">
    <mergeCell ref="H23:H25"/>
    <mergeCell ref="H26:H28"/>
    <mergeCell ref="H29:H31"/>
    <mergeCell ref="H32:H34"/>
    <mergeCell ref="H1:K1"/>
    <mergeCell ref="H3:H5"/>
    <mergeCell ref="H6:H8"/>
    <mergeCell ref="H10:H12"/>
    <mergeCell ref="H14:H16"/>
    <mergeCell ref="H17:H19"/>
    <mergeCell ref="H20:H2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ECD28-E513-4891-81F7-93A3BE0F72FD}">
  <dimension ref="B2:H15"/>
  <sheetViews>
    <sheetView workbookViewId="0">
      <selection activeCell="D23" sqref="D23"/>
    </sheetView>
  </sheetViews>
  <sheetFormatPr defaultRowHeight="14.5" x14ac:dyDescent="0.35"/>
  <cols>
    <col min="2" max="2" width="7.81640625" customWidth="1"/>
    <col min="3" max="3" width="11.453125" customWidth="1"/>
    <col min="4" max="4" width="76.453125" customWidth="1"/>
    <col min="6" max="6" width="10.81640625" bestFit="1" customWidth="1"/>
    <col min="7" max="7" width="19.7265625" bestFit="1" customWidth="1"/>
    <col min="8" max="8" width="18.54296875" bestFit="1" customWidth="1"/>
  </cols>
  <sheetData>
    <row r="2" spans="2:8" ht="24" customHeight="1" x14ac:dyDescent="0.35">
      <c r="B2" s="154" t="s">
        <v>141</v>
      </c>
      <c r="C2" s="155"/>
      <c r="D2" s="155"/>
      <c r="E2" s="155"/>
      <c r="F2" s="155"/>
      <c r="G2" s="155"/>
      <c r="H2" s="155"/>
    </row>
    <row r="3" spans="2:8" ht="24" customHeight="1" x14ac:dyDescent="0.35">
      <c r="B3" s="91" t="s">
        <v>144</v>
      </c>
      <c r="C3" s="91"/>
      <c r="D3" s="91"/>
    </row>
    <row r="4" spans="2:8" ht="15.5" x14ac:dyDescent="0.35">
      <c r="B4" s="88" t="s">
        <v>125</v>
      </c>
      <c r="C4" s="88" t="s">
        <v>136</v>
      </c>
      <c r="D4" s="88" t="s">
        <v>126</v>
      </c>
      <c r="E4" s="89" t="s">
        <v>137</v>
      </c>
      <c r="F4" s="89" t="s">
        <v>17</v>
      </c>
      <c r="G4" s="89" t="s">
        <v>140</v>
      </c>
      <c r="H4" s="89" t="s">
        <v>139</v>
      </c>
    </row>
    <row r="5" spans="2:8" ht="15" customHeight="1" x14ac:dyDescent="0.35">
      <c r="B5" s="156">
        <v>1</v>
      </c>
      <c r="C5" s="85">
        <v>1</v>
      </c>
      <c r="D5" s="83" t="s">
        <v>127</v>
      </c>
      <c r="E5" t="s">
        <v>138</v>
      </c>
      <c r="F5" s="84">
        <v>12</v>
      </c>
      <c r="G5" s="80">
        <f>Resumo!E4</f>
        <v>149228.90100000001</v>
      </c>
      <c r="H5" s="80">
        <f>G5*F5</f>
        <v>1790746.8120000002</v>
      </c>
    </row>
    <row r="6" spans="2:8" ht="15" customHeight="1" x14ac:dyDescent="0.35">
      <c r="B6" s="157"/>
      <c r="C6" s="86">
        <v>2</v>
      </c>
      <c r="D6" s="83" t="s">
        <v>128</v>
      </c>
      <c r="E6" t="s">
        <v>138</v>
      </c>
      <c r="F6" s="84">
        <v>12</v>
      </c>
      <c r="G6" s="80">
        <f>Resumo!E5</f>
        <v>38968.170000000006</v>
      </c>
      <c r="H6" s="80">
        <f t="shared" ref="H6:H12" si="0">G6*F6</f>
        <v>467618.04000000004</v>
      </c>
    </row>
    <row r="7" spans="2:8" ht="15" customHeight="1" x14ac:dyDescent="0.35">
      <c r="B7" s="157"/>
      <c r="C7" s="86">
        <v>3</v>
      </c>
      <c r="D7" s="83" t="s">
        <v>129</v>
      </c>
      <c r="E7" t="s">
        <v>138</v>
      </c>
      <c r="F7" s="84">
        <v>12</v>
      </c>
      <c r="G7" s="80">
        <f>Resumo!E6</f>
        <v>46666.770000000004</v>
      </c>
      <c r="H7" s="80">
        <f t="shared" si="0"/>
        <v>560001.24</v>
      </c>
    </row>
    <row r="8" spans="2:8" ht="15" customHeight="1" x14ac:dyDescent="0.35">
      <c r="B8" s="157"/>
      <c r="C8" s="86">
        <v>4</v>
      </c>
      <c r="D8" s="83" t="s">
        <v>130</v>
      </c>
      <c r="E8" t="s">
        <v>138</v>
      </c>
      <c r="F8" s="84">
        <v>12</v>
      </c>
      <c r="G8" s="80">
        <f>Resumo!E7</f>
        <v>39202.934999999998</v>
      </c>
      <c r="H8" s="80">
        <f t="shared" si="0"/>
        <v>470435.22</v>
      </c>
    </row>
    <row r="9" spans="2:8" ht="15" customHeight="1" x14ac:dyDescent="0.35">
      <c r="B9" s="157"/>
      <c r="C9" s="86">
        <v>5</v>
      </c>
      <c r="D9" s="83" t="s">
        <v>131</v>
      </c>
      <c r="E9" t="s">
        <v>138</v>
      </c>
      <c r="F9" s="84">
        <v>12</v>
      </c>
      <c r="G9" s="80">
        <f>Resumo!E8</f>
        <v>30977.23</v>
      </c>
      <c r="H9" s="80">
        <f t="shared" si="0"/>
        <v>371726.76</v>
      </c>
    </row>
    <row r="10" spans="2:8" ht="15" customHeight="1" x14ac:dyDescent="0.35">
      <c r="B10" s="157"/>
      <c r="C10" s="86">
        <v>6</v>
      </c>
      <c r="D10" s="83" t="s">
        <v>132</v>
      </c>
      <c r="E10" t="s">
        <v>138</v>
      </c>
      <c r="F10" s="84">
        <v>12</v>
      </c>
      <c r="G10" s="80">
        <f>Resumo!E9</f>
        <v>30977.23</v>
      </c>
      <c r="H10" s="80">
        <f t="shared" si="0"/>
        <v>371726.76</v>
      </c>
    </row>
    <row r="11" spans="2:8" ht="15" customHeight="1" x14ac:dyDescent="0.35">
      <c r="B11" s="157"/>
      <c r="C11" s="86">
        <v>7</v>
      </c>
      <c r="D11" s="83" t="s">
        <v>133</v>
      </c>
      <c r="E11" t="s">
        <v>138</v>
      </c>
      <c r="F11" s="84">
        <v>12</v>
      </c>
      <c r="G11" s="80">
        <f>Resumo!E10</f>
        <v>33397.448000000004</v>
      </c>
      <c r="H11" s="80">
        <f t="shared" si="0"/>
        <v>400769.37600000005</v>
      </c>
    </row>
    <row r="12" spans="2:8" ht="15" customHeight="1" x14ac:dyDescent="0.35">
      <c r="B12" s="157"/>
      <c r="C12" s="86">
        <v>8</v>
      </c>
      <c r="D12" s="83" t="s">
        <v>134</v>
      </c>
      <c r="E12" t="s">
        <v>138</v>
      </c>
      <c r="F12" s="84">
        <v>12</v>
      </c>
      <c r="G12" s="80">
        <f>Resumo!E11</f>
        <v>70386.165999999997</v>
      </c>
      <c r="H12" s="80">
        <f t="shared" si="0"/>
        <v>844633.99199999997</v>
      </c>
    </row>
    <row r="13" spans="2:8" ht="15" customHeight="1" x14ac:dyDescent="0.35">
      <c r="B13" s="158"/>
      <c r="C13" s="87">
        <v>9</v>
      </c>
      <c r="D13" s="82" t="s">
        <v>135</v>
      </c>
      <c r="E13" t="s">
        <v>138</v>
      </c>
      <c r="F13" s="84">
        <v>12</v>
      </c>
      <c r="G13" s="80">
        <f>Resumo!E12</f>
        <v>38266.507000000005</v>
      </c>
      <c r="H13" s="80">
        <f>G13*F13</f>
        <v>459198.08400000003</v>
      </c>
    </row>
    <row r="14" spans="2:8" x14ac:dyDescent="0.35">
      <c r="E14" s="159" t="s">
        <v>142</v>
      </c>
      <c r="F14" s="159"/>
      <c r="G14" s="159"/>
      <c r="H14" s="90">
        <f>SUM(G5:G13)</f>
        <v>478071.35699999996</v>
      </c>
    </row>
    <row r="15" spans="2:8" x14ac:dyDescent="0.35">
      <c r="E15" s="159" t="s">
        <v>143</v>
      </c>
      <c r="F15" s="159"/>
      <c r="G15" s="159"/>
      <c r="H15" s="90">
        <f>SUM(H5:H13)</f>
        <v>5736856.2839999991</v>
      </c>
    </row>
  </sheetData>
  <mergeCells count="4">
    <mergeCell ref="B2:H2"/>
    <mergeCell ref="B5:B13"/>
    <mergeCell ref="E14:G14"/>
    <mergeCell ref="E15:G1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6237C-D22E-4ADA-93B0-0B3003B91E5E}">
  <dimension ref="B2:E10"/>
  <sheetViews>
    <sheetView workbookViewId="0">
      <selection activeCell="D15" sqref="D15"/>
    </sheetView>
  </sheetViews>
  <sheetFormatPr defaultRowHeight="14.5" x14ac:dyDescent="0.35"/>
  <cols>
    <col min="3" max="3" width="33.54296875" bestFit="1" customWidth="1"/>
    <col min="4" max="4" width="41.453125" bestFit="1" customWidth="1"/>
    <col min="5" max="5" width="26.26953125" bestFit="1" customWidth="1"/>
  </cols>
  <sheetData>
    <row r="2" spans="2:5" x14ac:dyDescent="0.35">
      <c r="B2" s="160" t="s">
        <v>123</v>
      </c>
      <c r="C2" s="160"/>
      <c r="D2" s="160"/>
      <c r="E2" s="160"/>
    </row>
    <row r="3" spans="2:5" ht="30" customHeight="1" x14ac:dyDescent="0.35">
      <c r="C3" t="s">
        <v>120</v>
      </c>
      <c r="D3" t="s">
        <v>121</v>
      </c>
      <c r="E3" t="s">
        <v>122</v>
      </c>
    </row>
    <row r="4" spans="2:5" x14ac:dyDescent="0.35">
      <c r="B4">
        <v>2022</v>
      </c>
      <c r="C4" s="79">
        <v>6103673.54</v>
      </c>
      <c r="D4" s="79">
        <f>Resumo!E15</f>
        <v>5736856.284</v>
      </c>
      <c r="E4" s="80">
        <f>D4</f>
        <v>5736856.284</v>
      </c>
    </row>
    <row r="5" spans="2:5" x14ac:dyDescent="0.35">
      <c r="B5">
        <v>2023</v>
      </c>
      <c r="C5" s="80">
        <f>C4*(1+D10)</f>
        <v>6454634.7685500011</v>
      </c>
      <c r="D5" s="80">
        <f>D4*(1+D10)</f>
        <v>6066725.5203300007</v>
      </c>
      <c r="E5" s="80">
        <f>D5</f>
        <v>6066725.5203300007</v>
      </c>
    </row>
    <row r="6" spans="2:5" x14ac:dyDescent="0.35">
      <c r="B6">
        <v>2024</v>
      </c>
      <c r="C6" s="80">
        <f>C5*(1+D10)</f>
        <v>6825776.2677416271</v>
      </c>
      <c r="D6" s="80">
        <f>D5*(1+D10)</f>
        <v>6415562.2377489768</v>
      </c>
      <c r="E6" s="80">
        <f>D6</f>
        <v>6415562.2377489768</v>
      </c>
    </row>
    <row r="7" spans="2:5" x14ac:dyDescent="0.35">
      <c r="B7">
        <v>2025</v>
      </c>
      <c r="C7" s="80">
        <f>C6*(1+D10)</f>
        <v>7218258.4031367712</v>
      </c>
      <c r="D7" s="80">
        <f>D6*(1+D10)</f>
        <v>6784457.0664195437</v>
      </c>
      <c r="E7" s="80">
        <f>D7</f>
        <v>6784457.0664195437</v>
      </c>
    </row>
    <row r="8" spans="2:5" x14ac:dyDescent="0.35">
      <c r="B8">
        <v>2026</v>
      </c>
      <c r="C8" s="80">
        <f>C7*(1+D10)</f>
        <v>7633308.2613171367</v>
      </c>
      <c r="D8" s="80">
        <f>D7*(1+D10)</f>
        <v>7174563.3477386683</v>
      </c>
      <c r="E8" s="80">
        <f>D8</f>
        <v>7174563.3477386683</v>
      </c>
    </row>
    <row r="9" spans="2:5" x14ac:dyDescent="0.35">
      <c r="B9" t="s">
        <v>26</v>
      </c>
      <c r="C9" s="80">
        <f>SUM(C4:C8)</f>
        <v>34235651.240745537</v>
      </c>
      <c r="D9" s="80">
        <f>SUM(D4:D8)</f>
        <v>32178164.456237189</v>
      </c>
      <c r="E9" s="80">
        <f>SUM(E4:E8)</f>
        <v>32178164.456237189</v>
      </c>
    </row>
    <row r="10" spans="2:5" x14ac:dyDescent="0.35">
      <c r="C10" t="s">
        <v>124</v>
      </c>
      <c r="D10" s="81">
        <v>5.7500000000000002E-2</v>
      </c>
    </row>
  </sheetData>
  <mergeCells count="1">
    <mergeCell ref="B2:E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Resumo</vt:lpstr>
      <vt:lpstr>Estimativa Demanda</vt:lpstr>
      <vt:lpstr>Custos Fator K</vt:lpstr>
      <vt:lpstr>Base Salarial Portaria</vt:lpstr>
      <vt:lpstr>OBJETO</vt:lpstr>
      <vt:lpstr>MAPA TCO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Romario</dc:creator>
  <cp:keywords/>
  <dc:description/>
  <cp:lastModifiedBy>Vinicius Mendes Machado</cp:lastModifiedBy>
  <cp:revision/>
  <dcterms:created xsi:type="dcterms:W3CDTF">2020-10-22T19:14:39Z</dcterms:created>
  <dcterms:modified xsi:type="dcterms:W3CDTF">2022-07-12T19:48:39Z</dcterms:modified>
  <cp:category/>
  <cp:contentStatus/>
</cp:coreProperties>
</file>